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NUEVO ORDEN CARPETAS copia\DOCUMENTOS\Trabajo\Estadísticas\Documentos\2023\1 INDICADORES MENSUALES\9 Setiembre\"/>
    </mc:Choice>
  </mc:AlternateContent>
  <xr:revisionPtr revIDLastSave="0" documentId="13_ncr:1_{2ABD6BF7-53AB-485B-A729-271F271218A1}" xr6:coauthVersionLast="47" xr6:coauthVersionMax="47" xr10:uidLastSave="{00000000-0000-0000-0000-000000000000}"/>
  <bookViews>
    <workbookView xWindow="-120" yWindow="-120" windowWidth="38640" windowHeight="21240" tabRatio="498" activeTab="1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(G)'!$B$1:$K$83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58" i="6"/>
  <c r="I57" i="1" l="1"/>
  <c r="H57" i="1"/>
  <c r="E57" i="1"/>
  <c r="F41" i="1"/>
  <c r="F42" i="1"/>
  <c r="F43" i="1"/>
  <c r="H29" i="2" l="1"/>
  <c r="F44" i="1" l="1"/>
  <c r="F57" i="1" s="1"/>
  <c r="D56" i="6" l="1"/>
  <c r="F47" i="1" l="1"/>
  <c r="F46" i="1"/>
  <c r="E29" i="2" s="1"/>
  <c r="N11" i="2" l="1"/>
  <c r="F12" i="1"/>
  <c r="E25" i="1" l="1"/>
  <c r="F25" i="1"/>
  <c r="H25" i="1"/>
  <c r="I25" i="1"/>
  <c r="G26" i="1"/>
  <c r="J26" i="1"/>
  <c r="G27" i="1"/>
  <c r="J27" i="1"/>
  <c r="G28" i="1"/>
  <c r="J28" i="1"/>
  <c r="E29" i="1"/>
  <c r="F29" i="1"/>
  <c r="H29" i="1"/>
  <c r="I29" i="1"/>
  <c r="G30" i="1"/>
  <c r="J30" i="1"/>
  <c r="G31" i="1"/>
  <c r="J31" i="1"/>
  <c r="H32" i="1" l="1"/>
  <c r="F32" i="1"/>
  <c r="E32" i="1"/>
  <c r="G29" i="1"/>
  <c r="J29" i="1"/>
  <c r="J25" i="1"/>
  <c r="G25" i="1"/>
  <c r="I32" i="1"/>
  <c r="J32" i="1" l="1"/>
  <c r="G32" i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5" i="2" l="1"/>
  <c r="G34" i="2"/>
  <c r="G29" i="2"/>
  <c r="G33" i="2" l="1"/>
  <c r="D29" i="2"/>
  <c r="D35" i="2"/>
  <c r="D34" i="2"/>
  <c r="D33" i="2" l="1"/>
  <c r="H35" i="2" l="1"/>
  <c r="H34" i="2"/>
  <c r="H33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63" i="1" l="1"/>
  <c r="G63" i="1" s="1"/>
  <c r="F64" i="1"/>
  <c r="J42" i="1"/>
  <c r="G43" i="1" l="1"/>
  <c r="U61" i="1"/>
  <c r="S41" i="1"/>
  <c r="E34" i="2"/>
  <c r="S42" i="1"/>
  <c r="E35" i="2"/>
  <c r="G42" i="1"/>
  <c r="F59" i="1"/>
  <c r="U59" i="1" s="1"/>
  <c r="S40" i="1"/>
  <c r="F60" i="1"/>
  <c r="U58" i="1" s="1"/>
  <c r="S39" i="1"/>
  <c r="E33" i="2" l="1"/>
  <c r="E33" i="10"/>
  <c r="N10" i="2" l="1"/>
  <c r="N13" i="2"/>
  <c r="N14" i="2"/>
  <c r="N15" i="2"/>
  <c r="N16" i="2"/>
  <c r="N9" i="2"/>
  <c r="G59" i="1" l="1"/>
  <c r="H14" i="6" l="1"/>
  <c r="G14" i="6"/>
  <c r="I13" i="6"/>
  <c r="I12" i="6"/>
  <c r="I11" i="6"/>
  <c r="I10" i="6"/>
  <c r="I80" i="2"/>
  <c r="H58" i="2"/>
  <c r="G58" i="2"/>
  <c r="I36" i="2"/>
  <c r="I35" i="2"/>
  <c r="I34" i="2"/>
  <c r="I33" i="2"/>
  <c r="I30" i="2"/>
  <c r="I29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8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81" i="2" s="1"/>
  <c r="H40" i="1"/>
  <c r="G81" i="2" s="1"/>
  <c r="H32" i="2" l="1"/>
  <c r="G82" i="2"/>
  <c r="I81" i="2"/>
  <c r="H82" i="2"/>
  <c r="H48" i="1"/>
  <c r="G32" i="2"/>
  <c r="J45" i="1"/>
  <c r="J40" i="1"/>
  <c r="J56" i="1"/>
  <c r="H65" i="1"/>
  <c r="J61" i="1"/>
  <c r="I65" i="1"/>
  <c r="I48" i="1"/>
  <c r="D33" i="10"/>
  <c r="G37" i="2" l="1"/>
  <c r="G57" i="2"/>
  <c r="G59" i="2" s="1"/>
  <c r="G60" i="2" s="1"/>
  <c r="I32" i="2"/>
  <c r="H57" i="2"/>
  <c r="H37" i="2"/>
  <c r="J48" i="1"/>
  <c r="J65" i="1"/>
  <c r="E58" i="2"/>
  <c r="D58" i="2"/>
  <c r="I37" i="2" l="1"/>
  <c r="H59" i="2"/>
  <c r="I57" i="2"/>
  <c r="N66" i="2"/>
  <c r="M66" i="2"/>
  <c r="H60" i="2" l="1"/>
  <c r="I59" i="2"/>
  <c r="O78" i="2"/>
  <c r="N78" i="2"/>
  <c r="F80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8" i="2" l="1"/>
  <c r="O29" i="2"/>
  <c r="O32" i="2"/>
  <c r="O33" i="2"/>
  <c r="O34" i="2"/>
  <c r="O35" i="2"/>
  <c r="N35" i="2"/>
  <c r="N34" i="2"/>
  <c r="N33" i="2"/>
  <c r="N32" i="2"/>
  <c r="N29" i="2"/>
  <c r="N28" i="2"/>
  <c r="T60" i="1"/>
  <c r="T58" i="1"/>
  <c r="S14" i="1"/>
  <c r="S13" i="1"/>
  <c r="S12" i="1"/>
  <c r="S11" i="1"/>
  <c r="S15" i="1"/>
  <c r="T13" i="1" l="1"/>
  <c r="T14" i="1"/>
  <c r="T15" i="1"/>
  <c r="U64" i="1"/>
  <c r="W59" i="1" s="1"/>
  <c r="T64" i="1"/>
  <c r="V59" i="1" s="1"/>
  <c r="F36" i="2"/>
  <c r="F35" i="2"/>
  <c r="F34" i="2"/>
  <c r="F33" i="2"/>
  <c r="F30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81" i="2" s="1"/>
  <c r="E40" i="1"/>
  <c r="D81" i="2" s="1"/>
  <c r="S24" i="1"/>
  <c r="R24" i="1"/>
  <c r="E16" i="1"/>
  <c r="D16" i="1"/>
  <c r="F14" i="1"/>
  <c r="F15" i="1"/>
  <c r="R25" i="1" l="1"/>
  <c r="S25" i="1"/>
  <c r="O79" i="2"/>
  <c r="E82" i="2"/>
  <c r="F81" i="2"/>
  <c r="N79" i="2"/>
  <c r="D82" i="2"/>
  <c r="E48" i="1"/>
  <c r="G45" i="1"/>
  <c r="G40" i="1"/>
  <c r="D32" i="2"/>
  <c r="F48" i="1"/>
  <c r="F16" i="1"/>
  <c r="E17" i="1" s="1"/>
  <c r="E32" i="2"/>
  <c r="D17" i="1" l="1"/>
  <c r="G12" i="1"/>
  <c r="G13" i="1"/>
  <c r="G14" i="1"/>
  <c r="D57" i="2"/>
  <c r="M65" i="2" s="1"/>
  <c r="N30" i="2"/>
  <c r="D37" i="2"/>
  <c r="N12" i="2"/>
  <c r="N17" i="2" s="1"/>
  <c r="E57" i="2"/>
  <c r="N65" i="2" s="1"/>
  <c r="O30" i="2"/>
  <c r="E37" i="2"/>
  <c r="F32" i="2"/>
  <c r="G48" i="1"/>
  <c r="G15" i="1"/>
  <c r="F37" i="2" l="1"/>
  <c r="N36" i="2"/>
  <c r="M44" i="2" s="1"/>
  <c r="O36" i="2"/>
  <c r="N44" i="2" s="1"/>
  <c r="E14" i="6"/>
  <c r="D14" i="6"/>
  <c r="M49" i="2" l="1"/>
  <c r="M43" i="2"/>
  <c r="M46" i="2"/>
  <c r="M47" i="2"/>
  <c r="M42" i="2"/>
  <c r="M45" i="2"/>
  <c r="M48" i="2"/>
  <c r="N49" i="2"/>
  <c r="N43" i="2"/>
  <c r="N46" i="2"/>
  <c r="N45" i="2"/>
  <c r="N48" i="2"/>
  <c r="N42" i="2"/>
  <c r="N47" i="2"/>
  <c r="F14" i="6"/>
  <c r="M51" i="2" l="1"/>
  <c r="N51" i="2"/>
  <c r="H56" i="6"/>
  <c r="H57" i="6"/>
  <c r="H58" i="6"/>
  <c r="H59" i="6"/>
  <c r="F58" i="2" l="1"/>
  <c r="F57" i="2"/>
  <c r="F13" i="6" l="1"/>
  <c r="F12" i="6"/>
  <c r="F11" i="6"/>
  <c r="F10" i="6"/>
  <c r="E60" i="6"/>
  <c r="F60" i="6"/>
  <c r="G60" i="6"/>
  <c r="D60" i="6"/>
  <c r="E59" i="2"/>
  <c r="D59" i="2"/>
  <c r="D60" i="2" s="1"/>
  <c r="H60" i="6" l="1"/>
  <c r="E60" i="2"/>
  <c r="F59" i="2"/>
</calcChain>
</file>

<file path=xl/sharedStrings.xml><?xml version="1.0" encoding="utf-8"?>
<sst xmlns="http://schemas.openxmlformats.org/spreadsheetml/2006/main" count="315" uniqueCount="135">
  <si>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</si>
  <si>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</si>
  <si>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</si>
  <si>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</si>
  <si>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</si>
  <si>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</si>
  <si>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</si>
  <si>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</si>
  <si>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</si>
  <si>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</si>
  <si>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</si>
  <si>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</si>
  <si>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</si>
  <si>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</si>
  <si>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</si>
  <si>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</si>
  <si>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</si>
  <si>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</si>
  <si>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</si>
  <si>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</si>
  <si>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</si>
  <si>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</si>
  <si>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</si>
  <si>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</si>
  <si>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</si>
  <si>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</si>
  <si>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</si>
  <si>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</si>
  <si>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</si>
  <si>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</si>
  <si>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</si>
  <si>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</si>
  <si>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</si>
  <si>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</si>
  <si>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</si>
  <si>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</si>
  <si>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</si>
  <si>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</si>
  <si>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</si>
  <si>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</si>
  <si>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</si>
  <si>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</si>
  <si>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</si>
  <si>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</si>
  <si>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</si>
  <si>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</si>
  <si>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</si>
  <si>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</si>
  <si>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</si>
  <si>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</si>
  <si>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</si>
  <si>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</si>
  <si>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</si>
  <si>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</si>
  <si>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</si>
  <si>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</si>
  <si>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</si>
  <si>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</si>
  <si>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</si>
  <si>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</si>
  <si>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</si>
  <si>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</si>
  <si>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</si>
  <si>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</si>
  <si>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</si>
  <si>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</si>
  <si>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</si>
  <si>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</si>
  <si>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</si>
  <si>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</si>
  <si>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</si>
  <si>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</si>
  <si>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</si>
  <si>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</si>
  <si>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</si>
  <si>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</si>
  <si>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</si>
  <si>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</si>
  <si>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</si>
  <si>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</si>
  <si>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</si>
  <si>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</si>
  <si>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</si>
  <si>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</si>
  <si>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</si>
  <si>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</si>
  <si>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</si>
  <si>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</si>
  <si>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</si>
  <si>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</si>
  <si>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</si>
  <si>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</si>
  <si>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</si>
  <si>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</si>
  <si>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</si>
  <si>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</si>
  <si>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</si>
  <si>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</si>
  <si>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</si>
  <si>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</si>
  <si>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</si>
  <si>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</si>
  <si>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</si>
  <si>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</si>
  <si>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</si>
  <si>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</si>
  <si>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</si>
  <si>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</si>
  <si>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</si>
  <si>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</si>
  <si>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</si>
  <si>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</si>
  <si>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</si>
  <si>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</si>
  <si>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</si>
  <si>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</si>
  <si>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</si>
  <si>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</si>
  <si>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Calor de proceso</t>
  </si>
  <si>
    <t>--</t>
  </si>
  <si>
    <t>Flexigas</t>
  </si>
  <si>
    <t>Cuadro N° 2 : Producción de energía eléctrica nacional según sistema y mercado 2023 vs 2022</t>
  </si>
  <si>
    <t>Cuadro N° 3 : Producción de energía eléctrica nacional según mercado 2023 vs 2022</t>
  </si>
  <si>
    <t>Cuadro N° 4 : Producción de energía eléctrica nacional según destino y recurso 2023 vs 2022</t>
  </si>
  <si>
    <t>Cuadro N° 5: Producción de energía eléctrica nacional por tipo de recurso energético 2023 vs 2022</t>
  </si>
  <si>
    <t>Cuadro N° 6: Producción de energía eléctrica con Recurso Convencional y No Convencional 2023 vs 2022</t>
  </si>
  <si>
    <t>Cuadro N° 7: Producción de energía eléctrica según tipo de participación en el Mercado Eléctrico 2023 vs 2022</t>
  </si>
  <si>
    <t>3.1 Producción de energía eléctrica (GWh) nacional según zona 2023 vs 2022</t>
  </si>
  <si>
    <t>1. RESUMEN NACIONAL AL MES DE AGOSTO 2023</t>
  </si>
  <si>
    <t>Agosto</t>
  </si>
  <si>
    <t>Enero - Agosto</t>
  </si>
  <si>
    <t>Grafico N° 11: Generación de energía eléctrica por Región, al mes de agosto 2023</t>
  </si>
  <si>
    <t>Cuadro N° 8: Producción de energía eléctrica nacional por zona del país, al mes de agosto</t>
  </si>
  <si>
    <t>3.2 Producción de energía eléctrica (GWh) por origen y zona al mes de agosto 2023</t>
  </si>
  <si>
    <t>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</si>
</sst>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64">
    <xf numFmtId="0" fontId="0" fillId="0" borderId="0" xfId="0"/>
    <xf numFmtId="0" fontId="20" fillId="0" borderId="0" xfId="0" applyFont="1" applyAlignment="1">
      <alignment vertical="center"/>
    </xf>
    <xf numFmtId="0" fontId="91" fillId="0" borderId="0" xfId="0" applyFont="1"/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2" fillId="0" borderId="0" xfId="0" applyFont="1"/>
    <xf numFmtId="0" fontId="95" fillId="0" borderId="0" xfId="0" applyFont="1"/>
    <xf numFmtId="3" fontId="95" fillId="0" borderId="0" xfId="0" applyNumberFormat="1" applyFont="1"/>
    <xf numFmtId="0" fontId="96" fillId="0" borderId="0" xfId="0" applyFont="1"/>
    <xf numFmtId="0" fontId="0" fillId="64" borderId="0" xfId="0" applyFill="1"/>
    <xf numFmtId="0" fontId="0" fillId="64" borderId="15" xfId="0" applyFill="1" applyBorder="1"/>
    <xf numFmtId="0" fontId="0" fillId="0" borderId="15" xfId="0" applyBorder="1"/>
    <xf numFmtId="0" fontId="0" fillId="65" borderId="0" xfId="0" applyFill="1"/>
    <xf numFmtId="0" fontId="0" fillId="65" borderId="15" xfId="0" applyFill="1" applyBorder="1"/>
    <xf numFmtId="0" fontId="0" fillId="66" borderId="0" xfId="0" applyFill="1"/>
    <xf numFmtId="0" fontId="0" fillId="67" borderId="0" xfId="0" applyFill="1"/>
    <xf numFmtId="0" fontId="0" fillId="67" borderId="19" xfId="0" applyFill="1" applyBorder="1"/>
    <xf numFmtId="0" fontId="0" fillId="0" borderId="19" xfId="0" applyBorder="1"/>
    <xf numFmtId="0" fontId="97" fillId="0" borderId="0" xfId="0" applyFont="1"/>
    <xf numFmtId="167" fontId="95" fillId="0" borderId="0" xfId="0" applyNumberFormat="1" applyFont="1"/>
    <xf numFmtId="17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3" fillId="0" borderId="0" xfId="0" applyFont="1"/>
    <xf numFmtId="167" fontId="93" fillId="0" borderId="0" xfId="0" applyNumberFormat="1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61" borderId="0" xfId="0" applyFont="1" applyFill="1" applyAlignment="1">
      <alignment vertical="center"/>
    </xf>
    <xf numFmtId="0" fontId="0" fillId="0" borderId="24" xfId="0" applyBorder="1"/>
    <xf numFmtId="1" fontId="0" fillId="0" borderId="24" xfId="0" applyNumberFormat="1" applyBorder="1"/>
    <xf numFmtId="0" fontId="100" fillId="0" borderId="0" xfId="0" applyFont="1"/>
    <xf numFmtId="0" fontId="100" fillId="62" borderId="0" xfId="0" applyFont="1" applyFill="1"/>
    <xf numFmtId="1" fontId="100" fillId="62" borderId="0" xfId="0" applyNumberFormat="1" applyFont="1" applyFill="1" applyAlignment="1">
      <alignment horizontal="right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62" borderId="0" xfId="0" applyFont="1" applyFill="1" applyAlignment="1">
      <alignment vertical="center"/>
    </xf>
    <xf numFmtId="1" fontId="100" fillId="62" borderId="0" xfId="0" applyNumberFormat="1" applyFont="1" applyFill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62" borderId="0" xfId="0" applyFont="1" applyFill="1" applyAlignment="1">
      <alignment horizontal="center" vertical="center"/>
    </xf>
    <xf numFmtId="0" fontId="102" fillId="63" borderId="0" xfId="0" applyFont="1" applyFill="1"/>
    <xf numFmtId="17" fontId="102" fillId="63" borderId="0" xfId="0" applyNumberFormat="1" applyFont="1" applyFill="1"/>
    <xf numFmtId="3" fontId="100" fillId="62" borderId="0" xfId="0" applyNumberFormat="1" applyFont="1" applyFill="1"/>
    <xf numFmtId="3" fontId="100" fillId="0" borderId="0" xfId="0" applyNumberFormat="1" applyFont="1"/>
    <xf numFmtId="3" fontId="102" fillId="63" borderId="0" xfId="0" applyNumberFormat="1" applyFont="1" applyFill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/>
    <xf numFmtId="1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/>
    <xf numFmtId="17" fontId="100" fillId="62" borderId="0" xfId="0" applyNumberFormat="1" applyFont="1" applyFill="1"/>
    <xf numFmtId="14" fontId="100" fillId="62" borderId="0" xfId="0" applyNumberFormat="1" applyFont="1" applyFill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 wrapText="1"/>
    </xf>
    <xf numFmtId="0" fontId="0" fillId="68" borderId="0" xfId="0" applyFill="1"/>
    <xf numFmtId="0" fontId="95" fillId="68" borderId="0" xfId="0" applyFont="1" applyFill="1"/>
    <xf numFmtId="3" fontId="95" fillId="68" borderId="0" xfId="0" applyNumberFormat="1" applyFont="1" applyFill="1"/>
    <xf numFmtId="0" fontId="0" fillId="0" borderId="0" xfId="0" applyAlignment="1">
      <alignment horizontal="center"/>
    </xf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Alignment="1">
      <alignment horizontal="center"/>
    </xf>
    <xf numFmtId="0" fontId="92" fillId="69" borderId="59" xfId="0" applyFont="1" applyFill="1" applyBorder="1" applyAlignment="1">
      <alignment horizontal="center"/>
    </xf>
    <xf numFmtId="4" fontId="100" fillId="62" borderId="0" xfId="0" applyNumberFormat="1" applyFont="1" applyFill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/>
    <xf numFmtId="43" fontId="0" fillId="0" borderId="0" xfId="0" applyNumberFormat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32" xfId="0" applyFill="1" applyBorder="1"/>
    <xf numFmtId="0" fontId="0" fillId="68" borderId="42" xfId="0" applyFill="1" applyBorder="1"/>
    <xf numFmtId="0" fontId="0" fillId="68" borderId="30" xfId="0" applyFill="1" applyBorder="1"/>
    <xf numFmtId="0" fontId="0" fillId="68" borderId="45" xfId="0" applyFill="1" applyBorder="1"/>
    <xf numFmtId="0" fontId="0" fillId="68" borderId="0" xfId="0" applyFill="1" applyAlignment="1">
      <alignment horizontal="left" indent="2"/>
    </xf>
    <xf numFmtId="3" fontId="0" fillId="68" borderId="32" xfId="0" applyNumberFormat="1" applyFill="1" applyBorder="1"/>
    <xf numFmtId="3" fontId="0" fillId="68" borderId="42" xfId="0" applyNumberFormat="1" applyFill="1" applyBorder="1"/>
    <xf numFmtId="3" fontId="0" fillId="68" borderId="30" xfId="0" applyNumberFormat="1" applyFill="1" applyBorder="1"/>
    <xf numFmtId="4" fontId="0" fillId="68" borderId="42" xfId="0" applyNumberFormat="1" applyFill="1" applyBorder="1"/>
    <xf numFmtId="0" fontId="0" fillId="68" borderId="27" xfId="0" applyFill="1" applyBorder="1" applyAlignment="1">
      <alignment horizontal="left" indent="2"/>
    </xf>
    <xf numFmtId="3" fontId="0" fillId="68" borderId="34" xfId="0" applyNumberFormat="1" applyFill="1" applyBorder="1"/>
    <xf numFmtId="4" fontId="0" fillId="68" borderId="41" xfId="0" applyNumberFormat="1" applyFill="1" applyBorder="1"/>
    <xf numFmtId="3" fontId="0" fillId="68" borderId="29" xfId="0" applyNumberFormat="1" applyFill="1" applyBorder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Alignment="1">
      <alignment horizontal="left" indent="5"/>
    </xf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ill="1"/>
    <xf numFmtId="9" fontId="96" fillId="68" borderId="0" xfId="33743" applyFont="1" applyFill="1" applyAlignment="1">
      <alignment horizontal="center"/>
    </xf>
    <xf numFmtId="179" fontId="0" fillId="68" borderId="0" xfId="0" applyNumberFormat="1" applyFill="1"/>
    <xf numFmtId="0" fontId="0" fillId="68" borderId="56" xfId="0" applyFill="1" applyBorder="1" applyAlignment="1">
      <alignment vertical="center"/>
    </xf>
    <xf numFmtId="3" fontId="0" fillId="68" borderId="16" xfId="0" applyNumberFormat="1" applyFill="1" applyBorder="1" applyAlignment="1">
      <alignment vertical="center"/>
    </xf>
    <xf numFmtId="3" fontId="0" fillId="68" borderId="60" xfId="0" applyNumberFormat="1" applyFill="1" applyBorder="1" applyAlignment="1">
      <alignment vertical="center"/>
    </xf>
    <xf numFmtId="9" fontId="96" fillId="68" borderId="25" xfId="33743" applyFont="1" applyFill="1" applyBorder="1" applyAlignment="1">
      <alignment horizontal="center" vertical="center"/>
    </xf>
    <xf numFmtId="0" fontId="0" fillId="68" borderId="49" xfId="0" applyFill="1" applyBorder="1" applyAlignment="1">
      <alignment vertical="center"/>
    </xf>
    <xf numFmtId="3" fontId="0" fillId="68" borderId="0" xfId="0" applyNumberFormat="1" applyFill="1" applyAlignment="1">
      <alignment vertical="center"/>
    </xf>
    <xf numFmtId="3" fontId="0" fillId="68" borderId="61" xfId="0" applyNumberFormat="1" applyFill="1" applyBorder="1" applyAlignment="1">
      <alignment vertical="center"/>
    </xf>
    <xf numFmtId="9" fontId="96" fillId="68" borderId="32" xfId="33743" applyFont="1" applyFill="1" applyBorder="1" applyAlignment="1">
      <alignment horizontal="center" vertical="center"/>
    </xf>
    <xf numFmtId="0" fontId="0" fillId="68" borderId="48" xfId="0" applyFill="1" applyBorder="1" applyAlignment="1">
      <alignment vertical="center"/>
    </xf>
    <xf numFmtId="9" fontId="96" fillId="68" borderId="34" xfId="33743" applyFont="1" applyFill="1" applyBorder="1" applyAlignment="1">
      <alignment horizontal="center" vertical="center"/>
    </xf>
    <xf numFmtId="3" fontId="3" fillId="68" borderId="0" xfId="0" applyNumberFormat="1" applyFont="1" applyFill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ill="1" applyBorder="1"/>
    <xf numFmtId="0" fontId="0" fillId="71" borderId="41" xfId="0" applyFill="1" applyBorder="1"/>
    <xf numFmtId="0" fontId="0" fillId="71" borderId="29" xfId="0" applyFill="1" applyBorder="1"/>
    <xf numFmtId="0" fontId="0" fillId="71" borderId="44" xfId="0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ill="1" applyBorder="1"/>
    <xf numFmtId="3" fontId="0" fillId="71" borderId="23" xfId="0" applyNumberForma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Font="1" applyFill="1" applyBorder="1"/>
    <xf numFmtId="0" fontId="93" fillId="68" borderId="0" xfId="0" applyFont="1" applyFill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6" xfId="0" applyNumberFormat="1" applyFont="1" applyFill="1" applyBorder="1"/>
    <xf numFmtId="9" fontId="76" fillId="68" borderId="26" xfId="33743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/>
    <xf numFmtId="0" fontId="0" fillId="68" borderId="16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ill="1" applyBorder="1" applyAlignment="1">
      <alignment horizontal="center"/>
    </xf>
    <xf numFmtId="3" fontId="0" fillId="71" borderId="90" xfId="0" applyNumberFormat="1" applyFill="1" applyBorder="1"/>
    <xf numFmtId="3" fontId="0" fillId="71" borderId="91" xfId="0" applyNumberFormat="1" applyFill="1" applyBorder="1"/>
    <xf numFmtId="3" fontId="0" fillId="71" borderId="92" xfId="0" applyNumberFormat="1" applyFill="1" applyBorder="1"/>
    <xf numFmtId="0" fontId="0" fillId="71" borderId="93" xfId="0" applyFill="1" applyBorder="1"/>
    <xf numFmtId="0" fontId="0" fillId="71" borderId="15" xfId="0" applyFill="1" applyBorder="1" applyAlignment="1">
      <alignment horizontal="center"/>
    </xf>
    <xf numFmtId="4" fontId="0" fillId="71" borderId="75" xfId="0" applyNumberFormat="1" applyFill="1" applyBorder="1"/>
    <xf numFmtId="0" fontId="0" fillId="71" borderId="95" xfId="0" applyFill="1" applyBorder="1"/>
    <xf numFmtId="3" fontId="0" fillId="68" borderId="8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167" fontId="35" fillId="0" borderId="0" xfId="0" applyNumberFormat="1" applyFont="1"/>
    <xf numFmtId="167" fontId="100" fillId="0" borderId="0" xfId="0" applyNumberFormat="1" applyFont="1"/>
    <xf numFmtId="181" fontId="95" fillId="0" borderId="0" xfId="0" applyNumberFormat="1" applyFont="1"/>
    <xf numFmtId="0" fontId="105" fillId="0" borderId="0" xfId="0" applyFont="1"/>
    <xf numFmtId="0" fontId="106" fillId="0" borderId="0" xfId="0" applyFont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103" xfId="33743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/>
    <xf numFmtId="0" fontId="105" fillId="68" borderId="0" xfId="0" applyFont="1" applyFill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Font="1" applyFill="1" applyBorder="1" applyAlignment="1">
      <alignment horizontal="center"/>
    </xf>
    <xf numFmtId="9" fontId="103" fillId="71" borderId="94" xfId="33743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0" fontId="102" fillId="61" borderId="0" xfId="0" applyFont="1" applyFill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99" fillId="0" borderId="28" xfId="0" applyNumberFormat="1" applyFont="1" applyBorder="1"/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Font="1" applyFill="1" applyBorder="1" applyAlignment="1">
      <alignment horizontal="center" vertical="center"/>
    </xf>
    <xf numFmtId="9" fontId="103" fillId="68" borderId="45" xfId="33743" applyFont="1" applyFill="1" applyBorder="1" applyAlignment="1">
      <alignment horizontal="center"/>
    </xf>
    <xf numFmtId="9" fontId="103" fillId="68" borderId="44" xfId="33743" applyFont="1" applyFill="1" applyBorder="1" applyAlignment="1">
      <alignment horizontal="center"/>
    </xf>
    <xf numFmtId="3" fontId="0" fillId="68" borderId="0" xfId="0" quotePrefix="1" applyNumberFormat="1" applyFill="1" applyAlignment="1">
      <alignment horizontal="center" vertical="center"/>
    </xf>
    <xf numFmtId="3" fontId="0" fillId="68" borderId="83" xfId="0" applyNumberFormat="1" applyFill="1" applyBorder="1" applyAlignment="1">
      <alignment vertical="center"/>
    </xf>
    <xf numFmtId="3" fontId="0" fillId="68" borderId="63" xfId="0" applyNumberFormat="1" applyFill="1" applyBorder="1" applyAlignment="1">
      <alignment vertical="center"/>
    </xf>
    <xf numFmtId="3" fontId="0" fillId="68" borderId="81" xfId="0" quotePrefix="1" applyNumberFormat="1" applyFill="1" applyBorder="1" applyAlignment="1">
      <alignment horizontal="center" vertical="center"/>
    </xf>
    <xf numFmtId="182" fontId="0" fillId="68" borderId="61" xfId="0" quotePrefix="1" applyNumberFormat="1" applyFill="1" applyBorder="1" applyAlignment="1">
      <alignment horizontal="center" vertical="center"/>
    </xf>
    <xf numFmtId="3" fontId="0" fillId="68" borderId="27" xfId="0" applyNumberFormat="1" applyFill="1" applyBorder="1" applyAlignment="1">
      <alignment vertical="center"/>
    </xf>
    <xf numFmtId="9" fontId="96" fillId="68" borderId="32" xfId="33743" quotePrefix="1" applyFont="1" applyFill="1" applyBorder="1" applyAlignment="1">
      <alignment horizontal="center" vertical="center"/>
    </xf>
    <xf numFmtId="164" fontId="0" fillId="68" borderId="0" xfId="33744" applyFont="1" applyFill="1" applyBorder="1"/>
    <xf numFmtId="9" fontId="96" fillId="0" borderId="32" xfId="33743" applyFont="1" applyBorder="1" applyAlignment="1">
      <alignment horizontal="center"/>
    </xf>
    <xf numFmtId="178" fontId="76" fillId="68" borderId="25" xfId="33743" applyNumberFormat="1" applyFont="1" applyFill="1" applyBorder="1"/>
    <xf numFmtId="178" fontId="76" fillId="0" borderId="73" xfId="33743" applyNumberFormat="1" applyFont="1" applyBorder="1"/>
    <xf numFmtId="4" fontId="99" fillId="0" borderId="107" xfId="0" applyNumberFormat="1" applyFont="1" applyBorder="1"/>
    <xf numFmtId="0" fontId="96" fillId="0" borderId="0" xfId="33743" applyNumberFormat="1" applyFont="1" applyAlignment="1">
      <alignment horizontal="center"/>
    </xf>
    <xf numFmtId="3" fontId="0" fillId="68" borderId="113" xfId="0" applyNumberFormat="1" applyFill="1" applyBorder="1"/>
    <xf numFmtId="4" fontId="99" fillId="0" borderId="78" xfId="0" applyNumberFormat="1" applyFont="1" applyBorder="1"/>
    <xf numFmtId="178" fontId="96" fillId="68" borderId="32" xfId="33743" applyNumberFormat="1" applyFont="1" applyFill="1" applyBorder="1" applyAlignment="1">
      <alignment horizontal="center" vertical="center"/>
    </xf>
    <xf numFmtId="167" fontId="0" fillId="68" borderId="30" xfId="0" applyNumberFormat="1" applyFill="1" applyBorder="1"/>
    <xf numFmtId="167" fontId="0" fillId="68" borderId="35" xfId="0" applyNumberFormat="1" applyFill="1" applyBorder="1"/>
    <xf numFmtId="178" fontId="96" fillId="68" borderId="32" xfId="33743" applyNumberFormat="1" applyFont="1" applyFill="1" applyBorder="1" applyAlignment="1">
      <alignment horizontal="center"/>
    </xf>
    <xf numFmtId="3" fontId="93" fillId="68" borderId="75" xfId="33743" applyNumberFormat="1" applyFont="1" applyFill="1" applyBorder="1"/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ill="1" applyBorder="1" applyAlignment="1">
      <alignment horizontal="center"/>
    </xf>
    <xf numFmtId="0" fontId="0" fillId="71" borderId="53" xfId="0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3" fontId="98" fillId="0" borderId="0" xfId="0" applyNumberFormat="1" applyFont="1" applyAlignment="1">
      <alignment horizontal="center" vertical="center" wrapText="1"/>
    </xf>
    <xf numFmtId="3" fontId="98" fillId="0" borderId="0" xfId="0" applyNumberFormat="1" applyFont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9" fontId="96" fillId="68" borderId="32" xfId="33743" applyNumberFormat="1" applyFont="1" applyFill="1" applyBorder="1" applyAlignment="1">
      <alignment horizontal="center" vertical="center"/>
    </xf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2040.5906637950002</c:v>
                </c:pt>
                <c:pt idx="1">
                  <c:v>2719.0434378468067</c:v>
                </c:pt>
                <c:pt idx="2">
                  <c:v>175.89500899999999</c:v>
                </c:pt>
                <c:pt idx="3">
                  <c:v>67.460902999999988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1744.7108671341998</c:v>
                </c:pt>
                <c:pt idx="1">
                  <c:v>3175.9778358548988</c:v>
                </c:pt>
                <c:pt idx="2">
                  <c:v>180.04512728500004</c:v>
                </c:pt>
                <c:pt idx="3">
                  <c:v>87.852014796666694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655808"/>
        <c:axId val="723804160"/>
      </c:barChart>
      <c:catAx>
        <c:axId val="24765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23804160"/>
        <c:crosses val="autoZero"/>
        <c:auto val="1"/>
        <c:lblAlgn val="ctr"/>
        <c:lblOffset val="100"/>
        <c:noMultiLvlLbl val="0"/>
      </c:catAx>
      <c:valAx>
        <c:axId val="7238041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765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1416.7052241129702</c:v>
                </c:pt>
                <c:pt idx="2" formatCode="_ * #,##0.00_ ;_ * \-#,##0.00_ ;_ * &quot;-&quot;??_ ;_ @_ ">
                  <c:v>6.4599999999999996E-3</c:v>
                </c:pt>
                <c:pt idx="3">
                  <c:v>2736.6956817572845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101.75297788749999</c:v>
                </c:pt>
                <c:pt idx="1">
                  <c:v>234.54814043940181</c:v>
                </c:pt>
                <c:pt idx="2">
                  <c:v>87.870209463333367</c:v>
                </c:pt>
                <c:pt idx="3">
                  <c:v>260.53892211610878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36.194763000000002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4153.4073658702546</c:v>
                </c:pt>
                <c:pt idx="1">
                  <c:v>684.71024990634396</c:v>
                </c:pt>
                <c:pt idx="2">
                  <c:v>314.27346629416519</c:v>
                </c:pt>
                <c:pt idx="3">
                  <c:v>36.194763000000002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31880576"/>
        <c:axId val="831946752"/>
      </c:barChart>
      <c:catAx>
        <c:axId val="83188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1946752"/>
        <c:crosses val="autoZero"/>
        <c:auto val="1"/>
        <c:lblAlgn val="ctr"/>
        <c:lblOffset val="100"/>
        <c:noMultiLvlLbl val="0"/>
      </c:catAx>
      <c:valAx>
        <c:axId val="83194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188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MOQUEGUA</c:v>
                </c:pt>
                <c:pt idx="4">
                  <c:v>JUNIN</c:v>
                </c:pt>
                <c:pt idx="5">
                  <c:v>PIURA</c:v>
                </c:pt>
                <c:pt idx="6">
                  <c:v>ICA</c:v>
                </c:pt>
                <c:pt idx="7">
                  <c:v>CUSCO</c:v>
                </c:pt>
                <c:pt idx="8">
                  <c:v>AREQUIPA</c:v>
                </c:pt>
                <c:pt idx="9">
                  <c:v>ANCASH</c:v>
                </c:pt>
                <c:pt idx="10">
                  <c:v>LA LIBERTAD</c:v>
                </c:pt>
                <c:pt idx="11">
                  <c:v>CAJAMARCA</c:v>
                </c:pt>
                <c:pt idx="12">
                  <c:v>PASCO</c:v>
                </c:pt>
                <c:pt idx="13">
                  <c:v>PUNO</c:v>
                </c:pt>
                <c:pt idx="14">
                  <c:v>UCAYALI</c:v>
                </c:pt>
                <c:pt idx="15">
                  <c:v>LORETO</c:v>
                </c:pt>
                <c:pt idx="16">
                  <c:v>HUANUCO</c:v>
                </c:pt>
                <c:pt idx="17">
                  <c:v>LAMBAYEQUE</c:v>
                </c:pt>
                <c:pt idx="18">
                  <c:v>TACNA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2743.6662186342533</c:v>
                </c:pt>
                <c:pt idx="1">
                  <c:v>671.59762506635877</c:v>
                </c:pt>
                <c:pt idx="2">
                  <c:v>371.94943416129667</c:v>
                </c:pt>
                <c:pt idx="3">
                  <c:v>259.31685209250003</c:v>
                </c:pt>
                <c:pt idx="4">
                  <c:v>157.61988998138747</c:v>
                </c:pt>
                <c:pt idx="5">
                  <c:v>157.38806844904772</c:v>
                </c:pt>
                <c:pt idx="6">
                  <c:v>151.50590775826197</c:v>
                </c:pt>
                <c:pt idx="7">
                  <c:v>116.47864025812494</c:v>
                </c:pt>
                <c:pt idx="8">
                  <c:v>97.353956451848376</c:v>
                </c:pt>
                <c:pt idx="9">
                  <c:v>89.234732557508607</c:v>
                </c:pt>
                <c:pt idx="10">
                  <c:v>73.458628080549531</c:v>
                </c:pt>
                <c:pt idx="11">
                  <c:v>64.223765018734554</c:v>
                </c:pt>
                <c:pt idx="12">
                  <c:v>61.548846393731822</c:v>
                </c:pt>
                <c:pt idx="13">
                  <c:v>47.336026299946816</c:v>
                </c:pt>
                <c:pt idx="14">
                  <c:v>39.274689622499984</c:v>
                </c:pt>
                <c:pt idx="15">
                  <c:v>36.194763000000002</c:v>
                </c:pt>
                <c:pt idx="16">
                  <c:v>18.515929453218391</c:v>
                </c:pt>
                <c:pt idx="17">
                  <c:v>11.3711014125</c:v>
                </c:pt>
                <c:pt idx="18">
                  <c:v>9.0686162331617872</c:v>
                </c:pt>
                <c:pt idx="19">
                  <c:v>4.3350893333333334</c:v>
                </c:pt>
                <c:pt idx="20">
                  <c:v>2.5786660000000001</c:v>
                </c:pt>
                <c:pt idx="21">
                  <c:v>2.3962659999999998</c:v>
                </c:pt>
                <c:pt idx="22">
                  <c:v>1.1005480000000001</c:v>
                </c:pt>
                <c:pt idx="23">
                  <c:v>0.91318299999999997</c:v>
                </c:pt>
                <c:pt idx="24">
                  <c:v>0.15840181250000004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833700608"/>
        <c:axId val="833702144"/>
      </c:barChart>
      <c:catAx>
        <c:axId val="8337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833702144"/>
        <c:crosses val="autoZero"/>
        <c:auto val="1"/>
        <c:lblAlgn val="ctr"/>
        <c:lblOffset val="100"/>
        <c:noMultiLvlLbl val="0"/>
      </c:catAx>
      <c:valAx>
        <c:axId val="833702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8337006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146.28498584680591</c:v>
                </c:pt>
                <c:pt idx="1">
                  <c:v>142.13757341112762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4856.7050277950011</c:v>
                </c:pt>
                <c:pt idx="1">
                  <c:v>5046.4482716596376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8787328"/>
        <c:axId val="829555072"/>
        <c:axId val="828547968"/>
      </c:bar3DChart>
      <c:catAx>
        <c:axId val="8287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9555072"/>
        <c:crosses val="autoZero"/>
        <c:auto val="1"/>
        <c:lblAlgn val="ctr"/>
        <c:lblOffset val="100"/>
        <c:noMultiLvlLbl val="0"/>
      </c:catAx>
      <c:valAx>
        <c:axId val="8295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8787328"/>
        <c:crosses val="autoZero"/>
        <c:crossBetween val="between"/>
      </c:valAx>
      <c:serAx>
        <c:axId val="828547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955507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1928.8703577450003</c:v>
                </c:pt>
                <c:pt idx="1">
                  <c:v>1646.5579796517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2657.9555138468072</c:v>
                </c:pt>
                <c:pt idx="1">
                  <c:v>3123.796269062469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111.72030604999989</c:v>
                </c:pt>
                <c:pt idx="1">
                  <c:v>98.152887482499906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304.44383599999998</c:v>
                </c:pt>
                <c:pt idx="1">
                  <c:v>320.07870887409626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9672064"/>
        <c:axId val="829759872"/>
        <c:axId val="0"/>
      </c:bar3DChart>
      <c:catAx>
        <c:axId val="8296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9759872"/>
        <c:crosses val="autoZero"/>
        <c:auto val="1"/>
        <c:lblAlgn val="ctr"/>
        <c:lblOffset val="100"/>
        <c:noMultiLvlLbl val="0"/>
      </c:catAx>
      <c:valAx>
        <c:axId val="82975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9672064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Agosto</a:t>
            </a:r>
            <a:r>
              <a:rPr lang="en-US" sz="900" baseline="0"/>
              <a:t> </a:t>
            </a:r>
            <a:r>
              <a:rPr lang="en-US" sz="900"/>
              <a:t>2023 </a:t>
            </a:r>
          </a:p>
          <a:p>
            <a:pPr>
              <a:defRPr sz="900"/>
            </a:pPr>
            <a:r>
              <a:rPr lang="en-US" sz="900"/>
              <a:t>Total: 5 189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3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1.6087515218740794E-3"/>
                  <c:y val="0.1484588284845601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70-4D59-AB85-5287912CF34F}"/>
                </c:ext>
              </c:extLst>
            </c:dLbl>
            <c:dLbl>
              <c:idx val="1"/>
              <c:layout>
                <c:manualLayout>
                  <c:x val="1.1198752097006799E-2"/>
                  <c:y val="-0.1721305954433298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70-4D59-AB85-5287912CF34F}"/>
                </c:ext>
              </c:extLst>
            </c:dLbl>
            <c:dLbl>
              <c:idx val="2"/>
              <c:layout>
                <c:manualLayout>
                  <c:x val="1.0287585260725483E-2"/>
                  <c:y val="-8.1210769443265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59-45F3-B6E1-FF010DFCCF1C}"/>
                </c:ext>
              </c:extLst>
            </c:dLbl>
            <c:dLbl>
              <c:idx val="3"/>
              <c:layout>
                <c:manualLayout>
                  <c:x val="1.7145975434542472E-2"/>
                  <c:y val="-3.78983590735236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59-45F3-B6E1-FF010DFCCF1C}"/>
                </c:ext>
              </c:extLst>
            </c:dLbl>
            <c:dLbl>
              <c:idx val="4"/>
              <c:layout>
                <c:manualLayout>
                  <c:x val="6.8583901738169884E-3"/>
                  <c:y val="2.70702564810883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59-45F3-B6E1-FF010DFCCF1C}"/>
                </c:ext>
              </c:extLst>
            </c:dLbl>
            <c:dLbl>
              <c:idx val="5"/>
              <c:layout>
                <c:manualLayout>
                  <c:x val="-0.24291553946504016"/>
                  <c:y val="-9.677467485850994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baseline="0">
                        <a:effectLst/>
                      </a:rPr>
                      <a:t>Mcdo. Elect. </a:t>
                    </a:r>
                    <a:r>
                      <a:rPr lang="en-US"/>
                      <a:t>; </a:t>
                    </a:r>
                  </a:p>
                  <a:p>
                    <a:r>
                      <a:rPr lang="en-US"/>
                      <a:t>5 052; 97%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459-45F3-B6E1-FF010DFCC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33.414042877508088</c:v>
                </c:pt>
                <c:pt idx="1">
                  <c:v>102.96980560211674</c:v>
                </c:pt>
                <c:pt idx="2">
                  <c:v>1711.2968242566917</c:v>
                </c:pt>
                <c:pt idx="3">
                  <c:v>3073.0080302527822</c:v>
                </c:pt>
                <c:pt idx="4">
                  <c:v>267.89714208166674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(G)'!$C$57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(G)'!$D$57:$E$57</c:f>
              <c:numCache>
                <c:formatCode>#,##0</c:formatCode>
                <c:ptCount val="2"/>
                <c:pt idx="0">
                  <c:v>4698.5461776418069</c:v>
                </c:pt>
                <c:pt idx="1">
                  <c:v>4868.5071361966693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(G)'!$C$58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42294387537E-2"/>
                  <c:y val="-2.1662532664487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713509826681E-2"/>
                  <c:y val="-1.1967494653608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(G)'!$D$58:$E$58</c:f>
              <c:numCache>
                <c:formatCode>#,##0</c:formatCode>
                <c:ptCount val="2"/>
                <c:pt idx="0">
                  <c:v>304.44383599999998</c:v>
                </c:pt>
                <c:pt idx="1">
                  <c:v>320.07870887409626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830186624"/>
        <c:axId val="830188160"/>
      </c:barChart>
      <c:lineChart>
        <c:grouping val="standard"/>
        <c:varyColors val="0"/>
        <c:ser>
          <c:idx val="2"/>
          <c:order val="2"/>
          <c:tx>
            <c:strRef>
              <c:f>'TipoRecurso (G)'!$C$60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45689361297858E-2"/>
                  <c:y val="6.118774781999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8.104241951165117E-3"/>
                  <c:y val="1.115523309952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(G)'!$D$60:$E$60</c:f>
              <c:numCache>
                <c:formatCode>0.0%</c:formatCode>
                <c:ptCount val="2"/>
                <c:pt idx="0">
                  <c:v>6.0852377312339938E-2</c:v>
                </c:pt>
                <c:pt idx="1">
                  <c:v>6.1689007068886761E-2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228736"/>
        <c:axId val="830227200"/>
      </c:lineChart>
      <c:catAx>
        <c:axId val="8301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0188160"/>
        <c:crosses val="autoZero"/>
        <c:auto val="1"/>
        <c:lblAlgn val="ctr"/>
        <c:lblOffset val="100"/>
        <c:noMultiLvlLbl val="1"/>
      </c:catAx>
      <c:valAx>
        <c:axId val="830188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0186624"/>
        <c:crosses val="autoZero"/>
        <c:crossBetween val="between"/>
        <c:majorUnit val="1000"/>
      </c:valAx>
      <c:valAx>
        <c:axId val="830227200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0228736"/>
        <c:crosses val="max"/>
        <c:crossBetween val="between"/>
      </c:valAx>
      <c:catAx>
        <c:axId val="830228736"/>
        <c:scaling>
          <c:orientation val="minMax"/>
        </c:scaling>
        <c:delete val="1"/>
        <c:axPos val="b"/>
        <c:majorTickMark val="out"/>
        <c:minorTickMark val="none"/>
        <c:tickLblPos val="nextTo"/>
        <c:crossAx val="830227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6.7262475063758098E-2"/>
                  <c:y val="-0.246149057995421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9.8350331634660337E-2"/>
                      <c:h val="0.14274119282209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3862728013293157"/>
                  <c:y val="0.1764574531129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(G)'!$N$28:$N$35</c:f>
              <c:numCache>
                <c:formatCode>#,##0</c:formatCode>
                <c:ptCount val="8"/>
                <c:pt idx="0">
                  <c:v>2040.5906637950002</c:v>
                </c:pt>
                <c:pt idx="1">
                  <c:v>2580.9742469999997</c:v>
                </c:pt>
                <c:pt idx="2">
                  <c:v>75.459266846807623</c:v>
                </c:pt>
                <c:pt idx="4" formatCode="#,##0.00">
                  <c:v>1.522</c:v>
                </c:pt>
                <c:pt idx="5">
                  <c:v>61.087923999999987</c:v>
                </c:pt>
                <c:pt idx="6">
                  <c:v>175.89500899999999</c:v>
                </c:pt>
                <c:pt idx="7">
                  <c:v>67.460902999999988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2023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8.7700130877651369E-2"/>
                  <c:y val="-0.176065484133649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451758928088429"/>
                  <c:y val="0.24143477167207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7.8212833603375012E-2"/>
                  <c:y val="-0.2102555802245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26034055821"/>
                  <c:y val="-2.2732078375465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(G)'!$O$28:$O$35</c:f>
              <c:numCache>
                <c:formatCode>#,##0</c:formatCode>
                <c:ptCount val="8"/>
                <c:pt idx="0">
                  <c:v>1744.7108671341998</c:v>
                </c:pt>
                <c:pt idx="1">
                  <c:v>2874.259941448684</c:v>
                </c:pt>
                <c:pt idx="2">
                  <c:v>248.86702387737114</c:v>
                </c:pt>
                <c:pt idx="4" formatCode="#,##0.00">
                  <c:v>0.66930373641375873</c:v>
                </c:pt>
                <c:pt idx="5">
                  <c:v>52.181566792429521</c:v>
                </c:pt>
                <c:pt idx="6">
                  <c:v>180.04512728500004</c:v>
                </c:pt>
                <c:pt idx="7">
                  <c:v>87.852014796666694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(G)'!$M$9:$M$16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Flexigas</c:v>
                </c:pt>
                <c:pt idx="3">
                  <c:v>Diesel/Residual/Carbón</c:v>
                </c:pt>
                <c:pt idx="4">
                  <c:v>Bagazo / Biogás</c:v>
                </c:pt>
                <c:pt idx="5">
                  <c:v>Eólica</c:v>
                </c:pt>
                <c:pt idx="6">
                  <c:v>Solar</c:v>
                </c:pt>
                <c:pt idx="7">
                  <c:v>Vapor (Cogeneracion)</c:v>
                </c:pt>
              </c:strCache>
            </c:strRef>
          </c:cat>
          <c:val>
            <c:numRef>
              <c:f>'TipoRecurso (G)'!$N$9:$N$16</c:f>
              <c:numCache>
                <c:formatCode>#,##0</c:formatCode>
                <c:ptCount val="8"/>
                <c:pt idx="0">
                  <c:v>1744.7108671341998</c:v>
                </c:pt>
                <c:pt idx="1">
                  <c:v>2874.259941448684</c:v>
                </c:pt>
                <c:pt idx="2" formatCode="General">
                  <c:v>0</c:v>
                </c:pt>
                <c:pt idx="3">
                  <c:v>248.86702387737114</c:v>
                </c:pt>
                <c:pt idx="4">
                  <c:v>52.181566792429521</c:v>
                </c:pt>
                <c:pt idx="5">
                  <c:v>180.04512728500004</c:v>
                </c:pt>
                <c:pt idx="6">
                  <c:v>87.852014796666694</c:v>
                </c:pt>
                <c:pt idx="7">
                  <c:v>0.66930373641375873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0855040"/>
        <c:axId val="831218432"/>
      </c:barChart>
      <c:catAx>
        <c:axId val="8308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1218432"/>
        <c:crosses val="autoZero"/>
        <c:auto val="1"/>
        <c:lblAlgn val="ctr"/>
        <c:lblOffset val="100"/>
        <c:noMultiLvlLbl val="0"/>
      </c:catAx>
      <c:valAx>
        <c:axId val="83121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085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78.29214939750004</c:v>
                </c:pt>
                <c:pt idx="1">
                  <c:v>93.457502581827697</c:v>
                </c:pt>
                <c:pt idx="2">
                  <c:v>0</c:v>
                </c:pt>
                <c:pt idx="3">
                  <c:v>142.52381431483747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chart" Target="../charts/chart7.xml"/><Relationship Id="rId7" Type="http://schemas.openxmlformats.org/officeDocument/2006/relationships/image" Target="../media/image3.jpeg"/><Relationship Id="rId12" Type="http://schemas.openxmlformats.org/officeDocument/2006/relationships/image" Target="../media/image8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jpeg"/><Relationship Id="rId11" Type="http://schemas.openxmlformats.org/officeDocument/2006/relationships/image" Target="../media/image7.jpe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8.xml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9.png"/><Relationship Id="rId6" Type="http://schemas.openxmlformats.org/officeDocument/2006/relationships/image" Target="../media/image10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409574</xdr:colOff>
      <xdr:row>5</xdr:row>
      <xdr:rowOff>9525</xdr:rowOff>
    </xdr:from>
    <xdr:to>
      <xdr:col>14</xdr:col>
      <xdr:colOff>181840</xdr:colOff>
      <xdr:row>18</xdr:row>
      <xdr:rowOff>25977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agosto 2023</a:t>
          </a:r>
        </a:p>
      </xdr:txBody>
    </xdr:sp>
    <xdr:clientData/>
  </xdr:twoCellAnchor>
  <xdr:twoCellAnchor>
    <xdr:from>
      <xdr:col>1</xdr:col>
      <xdr:colOff>305258</xdr:colOff>
      <xdr:row>61</xdr:row>
      <xdr:rowOff>0</xdr:rowOff>
    </xdr:from>
    <xdr:to>
      <xdr:col>7</xdr:col>
      <xdr:colOff>577454</xdr:colOff>
      <xdr:row>65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2023 vs 2022</a:t>
          </a:r>
          <a:endParaRPr lang="es-PE" sz="900" b="1"/>
        </a:p>
      </xdr:txBody>
    </xdr:sp>
    <xdr:clientData/>
  </xdr:twoCellAnchor>
  <xdr:twoCellAnchor>
    <xdr:from>
      <xdr:col>2</xdr:col>
      <xdr:colOff>44450</xdr:colOff>
      <xdr:row>63</xdr:row>
      <xdr:rowOff>23814</xdr:rowOff>
    </xdr:from>
    <xdr:to>
      <xdr:col>8</xdr:col>
      <xdr:colOff>174624</xdr:colOff>
      <xdr:row>71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351233</xdr:colOff>
      <xdr:row>37</xdr:row>
      <xdr:rowOff>69055</xdr:rowOff>
    </xdr:from>
    <xdr:to>
      <xdr:col>5</xdr:col>
      <xdr:colOff>11904</xdr:colOff>
      <xdr:row>48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86590</xdr:colOff>
      <xdr:row>37</xdr:row>
      <xdr:rowOff>80962</xdr:rowOff>
    </xdr:from>
    <xdr:to>
      <xdr:col>9</xdr:col>
      <xdr:colOff>432954</xdr:colOff>
      <xdr:row>48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206656</xdr:colOff>
      <xdr:row>5</xdr:row>
      <xdr:rowOff>107578</xdr:rowOff>
    </xdr:from>
    <xdr:to>
      <xdr:col>10</xdr:col>
      <xdr:colOff>192088</xdr:colOff>
      <xdr:row>20</xdr:row>
      <xdr:rowOff>83214</xdr:rowOff>
    </xdr:to>
    <xdr:grpSp>
      <xdr:nvGrpSpPr>
        <xdr:cNvPr id="16" name="15 Grup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926323" y="954245"/>
          <a:ext cx="6695265" cy="2441552"/>
          <a:chOff x="936906" y="956891"/>
          <a:chExt cx="6692620" cy="2444198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936906" y="956891"/>
          <a:ext cx="6692620" cy="19964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13053" y="2956575"/>
            <a:ext cx="225426" cy="304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33161" y="2974758"/>
            <a:ext cx="166926" cy="2987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937131" y="2989004"/>
            <a:ext cx="271186" cy="2960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6990853" y="2970872"/>
            <a:ext cx="239457" cy="2924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463" y="2908597"/>
            <a:ext cx="361435" cy="386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0326" y="2856074"/>
            <a:ext cx="487894" cy="5450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5197" y="2932976"/>
            <a:ext cx="384917" cy="424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14 Imagen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246438" y="3000375"/>
            <a:ext cx="310923" cy="3048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49606" y="3291296"/>
          <a:ext cx="4016169" cy="5497284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3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view="pageBreakPreview" topLeftCell="A7" zoomScale="110" zoomScaleNormal="100" zoomScaleSheetLayoutView="110" workbookViewId="0">
      <selection activeCell="C3" sqref="C3"/>
    </sheetView>
  </sheetViews>
  <sheetFormatPr baseColWidth="10" defaultColWidth="11.42578125" defaultRowHeight="12.75"/>
  <cols>
    <col min="1" max="1" width="5.28515625" customWidth="1"/>
    <col min="2" max="2" width="2.42578125" customWidth="1"/>
    <col min="3" max="3" width="12.7109375" customWidth="1"/>
    <col min="4" max="4" width="12" customWidth="1"/>
    <col min="5" max="6" width="9.7109375" customWidth="1"/>
    <col min="7" max="7" width="7.28515625" customWidth="1"/>
    <col min="8" max="9" width="11.7109375" customWidth="1"/>
    <col min="10" max="10" width="5.7109375" customWidth="1"/>
    <col min="11" max="11" width="7.5703125" customWidth="1"/>
    <col min="12" max="12" width="11.140625" customWidth="1"/>
    <col min="17" max="17" width="14.5703125" customWidth="1"/>
    <col min="18" max="18" width="12.42578125" customWidth="1"/>
  </cols>
  <sheetData>
    <row r="2" spans="2:20" ht="15">
      <c r="B2" s="1" t="s">
        <v>128</v>
      </c>
      <c r="C2" s="2"/>
      <c r="D2" s="1"/>
      <c r="E2" s="1"/>
      <c r="F2" s="1"/>
      <c r="G2" s="1"/>
      <c r="H2" s="1"/>
      <c r="I2" s="1"/>
      <c r="J2" s="1"/>
      <c r="K2" s="1"/>
    </row>
    <row r="3" spans="2:20" ht="12.75" customHeight="1">
      <c r="B3" s="1"/>
      <c r="C3" s="2"/>
      <c r="D3" s="1"/>
      <c r="E3" s="1"/>
      <c r="F3" s="1"/>
      <c r="G3" s="1"/>
      <c r="H3" s="1"/>
      <c r="I3" s="1"/>
      <c r="J3" s="1"/>
      <c r="K3" s="1"/>
    </row>
    <row r="4" spans="2:20" ht="15">
      <c r="B4" s="1" t="s">
        <v>82</v>
      </c>
      <c r="C4" s="2"/>
      <c r="D4" s="1"/>
      <c r="E4" s="1"/>
      <c r="F4" s="1"/>
      <c r="G4" s="1"/>
      <c r="H4" s="1"/>
      <c r="I4" s="1"/>
      <c r="J4" s="1"/>
      <c r="K4" s="1"/>
    </row>
    <row r="5" spans="2:20" ht="14.25">
      <c r="B5" s="2"/>
      <c r="C5" s="3"/>
      <c r="D5" s="4"/>
      <c r="E5" s="4"/>
      <c r="F5" s="4"/>
      <c r="G5" s="4"/>
      <c r="H5" s="4"/>
      <c r="I5" s="4"/>
      <c r="J5" s="4"/>
      <c r="K5" s="4"/>
    </row>
    <row r="6" spans="2:20">
      <c r="C6" s="5" t="s">
        <v>113</v>
      </c>
    </row>
    <row r="8" spans="2:20">
      <c r="C8" s="69"/>
      <c r="D8" s="69"/>
      <c r="E8" s="69"/>
      <c r="F8" s="69"/>
      <c r="G8" s="69"/>
    </row>
    <row r="9" spans="2:20" ht="25.5">
      <c r="C9" s="150" t="s">
        <v>62</v>
      </c>
      <c r="D9" s="151" t="s">
        <v>69</v>
      </c>
      <c r="E9" s="152" t="s">
        <v>70</v>
      </c>
      <c r="F9" s="153" t="s">
        <v>71</v>
      </c>
      <c r="G9" s="154" t="s">
        <v>72</v>
      </c>
    </row>
    <row r="10" spans="2:20" ht="13.5" thickBot="1">
      <c r="C10" s="155" t="s">
        <v>63</v>
      </c>
      <c r="D10" s="156"/>
      <c r="E10" s="157"/>
      <c r="F10" s="158"/>
      <c r="G10" s="159"/>
    </row>
    <row r="11" spans="2:20" ht="13.5" thickTop="1">
      <c r="C11" s="69"/>
      <c r="D11" s="106"/>
      <c r="E11" s="107"/>
      <c r="F11" s="108"/>
      <c r="G11" s="109"/>
      <c r="Q11" s="336" t="s">
        <v>64</v>
      </c>
      <c r="R11" s="41" t="s">
        <v>41</v>
      </c>
      <c r="S11" s="54">
        <f>E12</f>
        <v>33.414042877508088</v>
      </c>
    </row>
    <row r="12" spans="2:20">
      <c r="C12" s="110" t="s">
        <v>66</v>
      </c>
      <c r="D12" s="111">
        <v>1711.2968242566917</v>
      </c>
      <c r="E12" s="112">
        <v>33.414042877508088</v>
      </c>
      <c r="F12" s="113">
        <f>SUM(D12:E12)</f>
        <v>1744.7108671341998</v>
      </c>
      <c r="G12" s="306">
        <f>(F12/F$16)-0.001</f>
        <v>0.33525942004827797</v>
      </c>
      <c r="Q12" s="336"/>
      <c r="R12" s="41" t="s">
        <v>73</v>
      </c>
      <c r="S12" s="54">
        <f>E13</f>
        <v>102.96980560211674</v>
      </c>
    </row>
    <row r="13" spans="2:20">
      <c r="C13" s="110" t="s">
        <v>65</v>
      </c>
      <c r="D13" s="111">
        <v>3073.0080302527822</v>
      </c>
      <c r="E13" s="112">
        <v>102.96980560211674</v>
      </c>
      <c r="F13" s="113">
        <f>SUM(D13:E13)</f>
        <v>3175.9778358548988</v>
      </c>
      <c r="G13" s="306">
        <f>(F13/F$16)</f>
        <v>0.61210856497095933</v>
      </c>
      <c r="Q13" s="336" t="s">
        <v>88</v>
      </c>
      <c r="R13" s="41" t="s">
        <v>41</v>
      </c>
      <c r="S13" s="54">
        <f>D12</f>
        <v>1711.2968242566917</v>
      </c>
      <c r="T13">
        <f>SUM(S13:S15)/SUM(S$11:S$15)</f>
        <v>0.97371463968179461</v>
      </c>
    </row>
    <row r="14" spans="2:20">
      <c r="C14" s="110" t="s">
        <v>67</v>
      </c>
      <c r="D14" s="111">
        <v>180.04512728500004</v>
      </c>
      <c r="E14" s="114"/>
      <c r="F14" s="113">
        <f>SUM(D14:E14)</f>
        <v>180.04512728500004</v>
      </c>
      <c r="G14" s="306">
        <f>(F14/F$16)</f>
        <v>3.4700230980286392E-2</v>
      </c>
      <c r="Q14" s="336"/>
      <c r="R14" s="41" t="s">
        <v>73</v>
      </c>
      <c r="S14" s="54">
        <f>D13</f>
        <v>3073.0080302527822</v>
      </c>
      <c r="T14">
        <f t="shared" ref="T14:T15" si="0">SUM(S14:S16)/SUM(S$11:S$15)</f>
        <v>0.64389513291147704</v>
      </c>
    </row>
    <row r="15" spans="2:20" ht="13.5" thickBot="1">
      <c r="C15" s="115" t="s">
        <v>5</v>
      </c>
      <c r="D15" s="116">
        <v>87.852014796666694</v>
      </c>
      <c r="E15" s="117"/>
      <c r="F15" s="118">
        <f>SUM(D15:E15)</f>
        <v>87.852014796666694</v>
      </c>
      <c r="G15" s="307">
        <f>(F15/F$16)</f>
        <v>1.6931784000476242E-2</v>
      </c>
      <c r="Q15" s="336"/>
      <c r="R15" s="41" t="s">
        <v>87</v>
      </c>
      <c r="S15" s="54">
        <f>SUM(D14:D15)</f>
        <v>267.89714208166674</v>
      </c>
      <c r="T15">
        <f t="shared" si="0"/>
        <v>5.1632014980762642E-2</v>
      </c>
    </row>
    <row r="16" spans="2:20" ht="13.5" thickTop="1">
      <c r="C16" s="210" t="s">
        <v>71</v>
      </c>
      <c r="D16" s="211">
        <f>SUM(D12:D15)</f>
        <v>5052.2019965911404</v>
      </c>
      <c r="E16" s="212">
        <f>SUM(E12:E15)</f>
        <v>136.38384847962482</v>
      </c>
      <c r="F16" s="213">
        <f>SUM(F12:F15)</f>
        <v>5188.5858450707656</v>
      </c>
      <c r="G16" s="214"/>
    </row>
    <row r="17" spans="3:19">
      <c r="C17" s="215" t="s">
        <v>109</v>
      </c>
      <c r="D17" s="270">
        <f>D16/F16+0.001</f>
        <v>0.97471463968179461</v>
      </c>
      <c r="E17" s="271">
        <f>E16/F16-0.001</f>
        <v>2.5285360318205299E-2</v>
      </c>
      <c r="F17" s="216"/>
      <c r="G17" s="217"/>
    </row>
    <row r="18" spans="3:19">
      <c r="C18" s="69"/>
      <c r="D18" s="69"/>
      <c r="E18" s="69"/>
      <c r="F18" s="69"/>
      <c r="G18" s="69"/>
    </row>
    <row r="20" spans="3:19">
      <c r="C20" s="5" t="s">
        <v>121</v>
      </c>
    </row>
    <row r="21" spans="3:19">
      <c r="C21" s="5"/>
    </row>
    <row r="22" spans="3:19" ht="13.5" thickBot="1">
      <c r="C22" s="69"/>
      <c r="D22" s="69"/>
      <c r="E22" s="69"/>
      <c r="F22" s="69"/>
      <c r="G22" s="69"/>
      <c r="H22" s="69"/>
      <c r="I22" s="69"/>
      <c r="J22" s="69"/>
    </row>
    <row r="23" spans="3:19" ht="12.75" customHeight="1">
      <c r="C23" s="332" t="s">
        <v>112</v>
      </c>
      <c r="D23" s="333"/>
      <c r="E23" s="337" t="s">
        <v>129</v>
      </c>
      <c r="F23" s="338"/>
      <c r="G23" s="122" t="s">
        <v>74</v>
      </c>
      <c r="H23" s="339" t="s">
        <v>130</v>
      </c>
      <c r="I23" s="340"/>
      <c r="J23" s="122" t="s">
        <v>74</v>
      </c>
      <c r="Q23" s="41"/>
      <c r="R23" s="41">
        <v>2022</v>
      </c>
      <c r="S23" s="41">
        <v>2023</v>
      </c>
    </row>
    <row r="24" spans="3:19" ht="12.75" customHeight="1">
      <c r="C24" s="123"/>
      <c r="D24" s="124"/>
      <c r="E24" s="125">
        <v>2022</v>
      </c>
      <c r="F24" s="126">
        <v>2023</v>
      </c>
      <c r="G24" s="127"/>
      <c r="H24" s="200">
        <v>2022</v>
      </c>
      <c r="I24" s="126">
        <v>2023</v>
      </c>
      <c r="J24" s="127"/>
      <c r="Q24" s="41" t="s">
        <v>76</v>
      </c>
      <c r="R24" s="54">
        <f>E29</f>
        <v>146.28498584680591</v>
      </c>
      <c r="S24" s="54">
        <f>F29</f>
        <v>142.13757341112762</v>
      </c>
    </row>
    <row r="25" spans="3:19">
      <c r="C25" s="328" t="s">
        <v>0</v>
      </c>
      <c r="D25" s="329"/>
      <c r="E25" s="160">
        <f>SUM(E26:E28)</f>
        <v>4856.7050277950011</v>
      </c>
      <c r="F25" s="161">
        <f>SUM(F26:F28)</f>
        <v>5046.4482716596376</v>
      </c>
      <c r="G25" s="162">
        <f>((F25/E25)-1)</f>
        <v>3.9068307170958994E-2</v>
      </c>
      <c r="H25" s="201">
        <f>SUM(H26:H28)</f>
        <v>37956.694028874997</v>
      </c>
      <c r="I25" s="161">
        <f>SUM(I26:I28)</f>
        <v>39895.958992159292</v>
      </c>
      <c r="J25" s="162">
        <f>((I25/H25)-1)</f>
        <v>5.1091513971396552E-2</v>
      </c>
      <c r="Q25" s="41" t="s">
        <v>0</v>
      </c>
      <c r="R25" s="54">
        <f>E25</f>
        <v>4856.7050277950011</v>
      </c>
      <c r="S25" s="54">
        <f>F25</f>
        <v>5046.4482716596376</v>
      </c>
    </row>
    <row r="26" spans="3:19">
      <c r="C26" s="228" t="s">
        <v>62</v>
      </c>
      <c r="D26" s="237" t="s">
        <v>102</v>
      </c>
      <c r="E26" s="113">
        <v>4714.3046567950005</v>
      </c>
      <c r="F26" s="129">
        <v>4905.6881386899977</v>
      </c>
      <c r="G26" s="130">
        <f t="shared" ref="G26:G32" si="1">((F26/E26)-1)</f>
        <v>4.0596333039093047E-2</v>
      </c>
      <c r="H26" s="202">
        <v>36707.763639874996</v>
      </c>
      <c r="I26" s="129">
        <v>38730.208679184994</v>
      </c>
      <c r="J26" s="130">
        <f t="shared" ref="J26:J32" si="2">((I26/H26)-1)</f>
        <v>5.509583910235949E-2</v>
      </c>
    </row>
    <row r="27" spans="3:19">
      <c r="C27" s="229" t="s">
        <v>106</v>
      </c>
      <c r="D27" s="238" t="s">
        <v>77</v>
      </c>
      <c r="E27" s="231">
        <v>102.91550099999999</v>
      </c>
      <c r="F27" s="232">
        <v>104.95631934302605</v>
      </c>
      <c r="G27" s="240">
        <f t="shared" si="1"/>
        <v>1.9830038460640242E-2</v>
      </c>
      <c r="H27" s="233">
        <v>898.27214400000014</v>
      </c>
      <c r="I27" s="232">
        <v>847.85444766249714</v>
      </c>
      <c r="J27" s="240">
        <f t="shared" si="2"/>
        <v>-5.6127418259897643E-2</v>
      </c>
    </row>
    <row r="28" spans="3:19">
      <c r="C28" s="230" t="s">
        <v>64</v>
      </c>
      <c r="D28" s="239" t="s">
        <v>77</v>
      </c>
      <c r="E28" s="113">
        <v>39.484869999999994</v>
      </c>
      <c r="F28" s="129">
        <v>35.80381362661408</v>
      </c>
      <c r="G28" s="130">
        <f t="shared" si="1"/>
        <v>-9.3227010077174266E-2</v>
      </c>
      <c r="H28" s="202">
        <v>350.65824500000002</v>
      </c>
      <c r="I28" s="129">
        <v>317.89586531179924</v>
      </c>
      <c r="J28" s="130">
        <f t="shared" si="2"/>
        <v>-9.34310832708376E-2</v>
      </c>
    </row>
    <row r="29" spans="3:19">
      <c r="C29" s="328" t="s">
        <v>76</v>
      </c>
      <c r="D29" s="329"/>
      <c r="E29" s="160">
        <f>SUM(E30:E31)</f>
        <v>146.28498584680591</v>
      </c>
      <c r="F29" s="161">
        <f>SUM(F30:F31)</f>
        <v>142.13757341112762</v>
      </c>
      <c r="G29" s="162">
        <f t="shared" si="1"/>
        <v>-2.8351593375560702E-2</v>
      </c>
      <c r="H29" s="201">
        <f>SUM(H30:H31)</f>
        <v>1280.787366624789</v>
      </c>
      <c r="I29" s="161">
        <f>SUM(I30:I31)</f>
        <v>1250.6731543317044</v>
      </c>
      <c r="J29" s="162">
        <f t="shared" si="2"/>
        <v>-2.3512265250119957E-2</v>
      </c>
      <c r="Q29" s="41"/>
      <c r="R29" s="41"/>
      <c r="S29" s="41"/>
    </row>
    <row r="30" spans="3:19">
      <c r="C30" s="234" t="s">
        <v>68</v>
      </c>
      <c r="D30" s="124"/>
      <c r="E30" s="324">
        <v>41.686074999999988</v>
      </c>
      <c r="F30" s="325">
        <v>41.557538558116853</v>
      </c>
      <c r="G30" s="326">
        <f t="shared" si="1"/>
        <v>-3.083438339616662E-3</v>
      </c>
      <c r="H30" s="202">
        <v>327.10145799999998</v>
      </c>
      <c r="I30" s="129">
        <v>325.09191430828963</v>
      </c>
      <c r="J30" s="130">
        <f t="shared" si="2"/>
        <v>-6.1434874182381138E-3</v>
      </c>
    </row>
    <row r="31" spans="3:19" ht="13.5" thickBot="1">
      <c r="C31" s="235" t="s">
        <v>64</v>
      </c>
      <c r="D31" s="236"/>
      <c r="E31" s="118">
        <v>104.59891084680592</v>
      </c>
      <c r="F31" s="132">
        <v>100.58003485301076</v>
      </c>
      <c r="G31" s="133">
        <f t="shared" si="1"/>
        <v>-3.8421776682561748E-2</v>
      </c>
      <c r="H31" s="203">
        <v>953.68590862478902</v>
      </c>
      <c r="I31" s="132">
        <v>925.58124002341469</v>
      </c>
      <c r="J31" s="133">
        <f t="shared" si="2"/>
        <v>-2.9469522771811918E-2</v>
      </c>
    </row>
    <row r="32" spans="3:19" ht="14.25" thickTop="1" thickBot="1">
      <c r="C32" s="330" t="s">
        <v>108</v>
      </c>
      <c r="D32" s="331"/>
      <c r="E32" s="163">
        <f>SUM(E25,E29)</f>
        <v>5002.9900136418073</v>
      </c>
      <c r="F32" s="164">
        <f>SUM(F25,F29)</f>
        <v>5188.5858450707656</v>
      </c>
      <c r="G32" s="165">
        <f t="shared" si="1"/>
        <v>3.7096982189228411E-2</v>
      </c>
      <c r="H32" s="204">
        <f>SUM(H25,H29)</f>
        <v>39237.481395499788</v>
      </c>
      <c r="I32" s="164">
        <f>SUM(I25,I29)</f>
        <v>41146.632146491</v>
      </c>
      <c r="J32" s="165">
        <f t="shared" si="2"/>
        <v>4.8656302165464016E-2</v>
      </c>
    </row>
    <row r="33" spans="3:19">
      <c r="C33" s="265" t="s">
        <v>103</v>
      </c>
      <c r="D33" s="134"/>
      <c r="E33" s="134"/>
      <c r="F33" s="135"/>
      <c r="G33" s="69"/>
      <c r="H33" s="134"/>
      <c r="I33" s="134"/>
      <c r="J33" s="69"/>
    </row>
    <row r="34" spans="3:19">
      <c r="C34" s="72"/>
      <c r="D34" s="36"/>
      <c r="E34" s="36"/>
      <c r="F34" s="320"/>
    </row>
    <row r="35" spans="3:19">
      <c r="C35" s="5" t="s">
        <v>122</v>
      </c>
    </row>
    <row r="36" spans="3:19">
      <c r="C36" s="5"/>
    </row>
    <row r="37" spans="3:19" ht="13.5" thickBot="1">
      <c r="C37" s="5"/>
    </row>
    <row r="38" spans="3:19" ht="12.75" customHeight="1">
      <c r="C38" s="120"/>
      <c r="D38" s="121"/>
      <c r="E38" s="337" t="s">
        <v>129</v>
      </c>
      <c r="F38" s="338"/>
      <c r="G38" s="334" t="s">
        <v>74</v>
      </c>
      <c r="H38" s="339" t="s">
        <v>130</v>
      </c>
      <c r="I38" s="340"/>
      <c r="J38" s="334" t="s">
        <v>74</v>
      </c>
      <c r="Q38" s="41"/>
      <c r="R38" s="41">
        <v>2022</v>
      </c>
      <c r="S38" s="41">
        <v>2023</v>
      </c>
    </row>
    <row r="39" spans="3:19" ht="12.75" customHeight="1">
      <c r="C39" s="123" t="s">
        <v>75</v>
      </c>
      <c r="D39" s="124"/>
      <c r="E39" s="125">
        <v>2022</v>
      </c>
      <c r="F39" s="126">
        <v>2023</v>
      </c>
      <c r="G39" s="335"/>
      <c r="H39" s="200">
        <v>2022</v>
      </c>
      <c r="I39" s="126">
        <v>2023</v>
      </c>
      <c r="J39" s="335"/>
      <c r="Q39" s="41" t="s">
        <v>66</v>
      </c>
      <c r="R39" s="54">
        <f>SUM(E41,E46)</f>
        <v>2040.5906637950002</v>
      </c>
      <c r="S39" s="54">
        <f>SUM(F41,F46)</f>
        <v>1744.7108671341998</v>
      </c>
    </row>
    <row r="40" spans="3:19">
      <c r="C40" s="328" t="s">
        <v>68</v>
      </c>
      <c r="D40" s="329"/>
      <c r="E40" s="160">
        <f>SUM(E41:E44)</f>
        <v>4858.9062327950014</v>
      </c>
      <c r="F40" s="161">
        <f>SUM(F41:F44)</f>
        <v>5052.2019965911404</v>
      </c>
      <c r="G40" s="162">
        <f>((F40/E40)-1)</f>
        <v>3.9781743984170115E-2</v>
      </c>
      <c r="H40" s="201">
        <f>SUM(H41:H44)</f>
        <v>37933.137241874989</v>
      </c>
      <c r="I40" s="161">
        <f>SUM(I41:I44)</f>
        <v>39903.155041155791</v>
      </c>
      <c r="J40" s="162">
        <f>((I40/H40)-1)</f>
        <v>5.1933953859900406E-2</v>
      </c>
      <c r="Q40" s="41" t="s">
        <v>65</v>
      </c>
      <c r="R40" s="54">
        <f>SUM(E42,E47)</f>
        <v>2719.0434378468067</v>
      </c>
      <c r="S40" s="54">
        <f>SUM(F42,F47)</f>
        <v>3175.9778358548988</v>
      </c>
    </row>
    <row r="41" spans="3:19">
      <c r="C41" s="128" t="s">
        <v>66</v>
      </c>
      <c r="D41" s="69"/>
      <c r="E41" s="113">
        <v>1997.4965587950003</v>
      </c>
      <c r="F41" s="129">
        <f>D12</f>
        <v>1711.2968242566917</v>
      </c>
      <c r="G41" s="130">
        <f t="shared" ref="G41:G48" si="3">((F41/E41)-1)</f>
        <v>-0.14327921281174072</v>
      </c>
      <c r="H41" s="202">
        <v>21318.821319874995</v>
      </c>
      <c r="I41" s="129">
        <v>19446.913193598837</v>
      </c>
      <c r="J41" s="130">
        <f t="shared" ref="J41:J48" si="4">((I41/H41)-1)</f>
        <v>-8.7805423113660797E-2</v>
      </c>
      <c r="Q41" s="41" t="s">
        <v>67</v>
      </c>
      <c r="R41" s="54">
        <f>E43</f>
        <v>175.89500899999999</v>
      </c>
      <c r="S41" s="54">
        <f>F43</f>
        <v>180.04512728500004</v>
      </c>
    </row>
    <row r="42" spans="3:19">
      <c r="C42" s="128" t="s">
        <v>65</v>
      </c>
      <c r="D42" s="69"/>
      <c r="E42" s="113">
        <v>2618.0537620000009</v>
      </c>
      <c r="F42" s="129">
        <f>D13</f>
        <v>3073.0080302527822</v>
      </c>
      <c r="G42" s="130">
        <f t="shared" si="3"/>
        <v>0.17377575466793682</v>
      </c>
      <c r="H42" s="202">
        <v>14834.903965999998</v>
      </c>
      <c r="I42" s="129">
        <v>18573.682423607781</v>
      </c>
      <c r="J42" s="130">
        <f t="shared" si="4"/>
        <v>0.25202579444913575</v>
      </c>
      <c r="Q42" s="41" t="s">
        <v>5</v>
      </c>
      <c r="R42" s="54">
        <f>E44</f>
        <v>67.460902999999988</v>
      </c>
      <c r="S42" s="54">
        <f>F44</f>
        <v>87.852014796666694</v>
      </c>
    </row>
    <row r="43" spans="3:19">
      <c r="C43" s="128" t="s">
        <v>67</v>
      </c>
      <c r="D43" s="69"/>
      <c r="E43" s="113">
        <v>175.89500899999999</v>
      </c>
      <c r="F43" s="129">
        <f>D14</f>
        <v>180.04512728500004</v>
      </c>
      <c r="G43" s="130">
        <f t="shared" si="3"/>
        <v>2.3594292462272515E-2</v>
      </c>
      <c r="H43" s="202">
        <v>1272.9222380000001</v>
      </c>
      <c r="I43" s="129">
        <v>1356.8625315849999</v>
      </c>
      <c r="J43" s="130">
        <f t="shared" si="4"/>
        <v>6.5942986208557208E-2</v>
      </c>
    </row>
    <row r="44" spans="3:19">
      <c r="C44" s="128" t="s">
        <v>5</v>
      </c>
      <c r="D44" s="69"/>
      <c r="E44" s="113">
        <v>67.460902999999988</v>
      </c>
      <c r="F44" s="129">
        <f>D15</f>
        <v>87.852014796666694</v>
      </c>
      <c r="G44" s="316">
        <f t="shared" si="3"/>
        <v>0.30226562186199479</v>
      </c>
      <c r="H44" s="202">
        <v>506.48971799999993</v>
      </c>
      <c r="I44" s="129">
        <v>525.69689236416673</v>
      </c>
      <c r="J44" s="130">
        <f t="shared" si="4"/>
        <v>3.7922140729748754E-2</v>
      </c>
      <c r="Q44" s="41"/>
      <c r="R44" s="41"/>
      <c r="S44" s="41"/>
    </row>
    <row r="45" spans="3:19">
      <c r="C45" s="328" t="s">
        <v>64</v>
      </c>
      <c r="D45" s="329"/>
      <c r="E45" s="160">
        <f>SUM(E46:E47)</f>
        <v>144.08378084680592</v>
      </c>
      <c r="F45" s="161">
        <f>SUM(F46:F47)</f>
        <v>136.38384847962482</v>
      </c>
      <c r="G45" s="162">
        <f t="shared" si="3"/>
        <v>-5.3440660162630604E-2</v>
      </c>
      <c r="H45" s="201">
        <f>SUM(H46:H47)</f>
        <v>1304.3441536247888</v>
      </c>
      <c r="I45" s="161">
        <f>SUM(I46:I47)</f>
        <v>1243.477105335214</v>
      </c>
      <c r="J45" s="162">
        <f t="shared" si="4"/>
        <v>-4.6664868409479587E-2</v>
      </c>
    </row>
    <row r="46" spans="3:19">
      <c r="C46" s="128" t="s">
        <v>66</v>
      </c>
      <c r="D46" s="69"/>
      <c r="E46" s="113">
        <v>43.094105000000006</v>
      </c>
      <c r="F46" s="129">
        <f>E12</f>
        <v>33.414042877508088</v>
      </c>
      <c r="G46" s="130">
        <f t="shared" si="3"/>
        <v>-0.22462613210071114</v>
      </c>
      <c r="H46" s="202">
        <v>419.39295104648727</v>
      </c>
      <c r="I46" s="129">
        <v>368.0145877594565</v>
      </c>
      <c r="J46" s="130">
        <f t="shared" si="4"/>
        <v>-0.12250650173978672</v>
      </c>
    </row>
    <row r="47" spans="3:19" ht="13.5" thickBot="1">
      <c r="C47" s="131" t="s">
        <v>65</v>
      </c>
      <c r="D47" s="69"/>
      <c r="E47" s="118">
        <v>100.98967584680592</v>
      </c>
      <c r="F47" s="132">
        <f>E13</f>
        <v>102.96980560211674</v>
      </c>
      <c r="G47" s="133">
        <f t="shared" si="3"/>
        <v>1.9607249342145971E-2</v>
      </c>
      <c r="H47" s="203">
        <v>884.95120257830149</v>
      </c>
      <c r="I47" s="132">
        <v>875.46251757575749</v>
      </c>
      <c r="J47" s="133">
        <f t="shared" si="4"/>
        <v>-1.0722269176988264E-2</v>
      </c>
    </row>
    <row r="48" spans="3:19" ht="14.25" thickTop="1" thickBot="1">
      <c r="C48" s="330" t="s">
        <v>108</v>
      </c>
      <c r="D48" s="331"/>
      <c r="E48" s="163">
        <f>SUM(E40,E45)</f>
        <v>5002.9900136418073</v>
      </c>
      <c r="F48" s="164">
        <f>SUM(F40,F45)</f>
        <v>5188.5858450707656</v>
      </c>
      <c r="G48" s="165">
        <f t="shared" si="3"/>
        <v>3.7096982189228411E-2</v>
      </c>
      <c r="H48" s="204">
        <f>SUM(H40,H45)</f>
        <v>39237.481395499781</v>
      </c>
      <c r="I48" s="164">
        <f>SUM(I40,I45)</f>
        <v>41146.632146491007</v>
      </c>
      <c r="J48" s="165">
        <f t="shared" si="4"/>
        <v>4.865630216546446E-2</v>
      </c>
    </row>
    <row r="49" spans="3:23">
      <c r="C49" s="226"/>
      <c r="D49" s="72"/>
      <c r="E49" s="36"/>
      <c r="F49" s="36"/>
      <c r="G49" s="74"/>
    </row>
    <row r="50" spans="3:23">
      <c r="C50" s="72"/>
      <c r="D50" s="72"/>
      <c r="E50" s="36"/>
      <c r="F50" s="36"/>
      <c r="G50" s="74"/>
    </row>
    <row r="51" spans="3:23">
      <c r="C51" s="5" t="s">
        <v>123</v>
      </c>
    </row>
    <row r="52" spans="3:23">
      <c r="C52" s="5"/>
      <c r="M52" s="36"/>
    </row>
    <row r="53" spans="3:23" ht="13.5" thickBot="1">
      <c r="C53" s="5"/>
      <c r="L53" s="36"/>
      <c r="M53" s="36"/>
    </row>
    <row r="54" spans="3:23" ht="12.75" customHeight="1">
      <c r="C54" s="120"/>
      <c r="D54" s="121"/>
      <c r="E54" s="337" t="s">
        <v>129</v>
      </c>
      <c r="F54" s="338"/>
      <c r="G54" s="334" t="s">
        <v>74</v>
      </c>
      <c r="H54" s="339" t="s">
        <v>130</v>
      </c>
      <c r="I54" s="340"/>
      <c r="J54" s="334" t="s">
        <v>74</v>
      </c>
      <c r="L54" s="36"/>
      <c r="M54" s="36"/>
    </row>
    <row r="55" spans="3:23" ht="12.75" customHeight="1">
      <c r="C55" s="123" t="s">
        <v>75</v>
      </c>
      <c r="D55" s="124"/>
      <c r="E55" s="125">
        <v>2022</v>
      </c>
      <c r="F55" s="126">
        <v>2023</v>
      </c>
      <c r="G55" s="335"/>
      <c r="H55" s="200">
        <v>2022</v>
      </c>
      <c r="I55" s="126">
        <v>2023</v>
      </c>
      <c r="J55" s="335"/>
      <c r="L55" s="36"/>
      <c r="M55" s="36"/>
    </row>
    <row r="56" spans="3:23">
      <c r="C56" s="328" t="s">
        <v>68</v>
      </c>
      <c r="D56" s="329"/>
      <c r="E56" s="160">
        <f>SUM(E57:E60)</f>
        <v>4858.9062327950014</v>
      </c>
      <c r="F56" s="161">
        <f>SUM(F57:F60)</f>
        <v>5052.2019965911404</v>
      </c>
      <c r="G56" s="162">
        <f>((F56/E56)-1)</f>
        <v>3.9781743984170115E-2</v>
      </c>
      <c r="H56" s="201">
        <f>SUM(H57:H60)</f>
        <v>37933.137241874996</v>
      </c>
      <c r="I56" s="161">
        <f>SUM(I57:I60)</f>
        <v>39903.155041155784</v>
      </c>
      <c r="J56" s="162">
        <f>((I56/H56)-1)</f>
        <v>5.1933953859899962E-2</v>
      </c>
    </row>
    <row r="57" spans="3:23" ht="25.5">
      <c r="C57" s="342" t="s">
        <v>78</v>
      </c>
      <c r="D57" s="241" t="s">
        <v>79</v>
      </c>
      <c r="E57" s="275">
        <f>SUM(E43:E44)+40.968822</f>
        <v>284.32473399999998</v>
      </c>
      <c r="F57" s="276">
        <f>SUM(F43:F44)+33.1321527560379</f>
        <v>301.02929483770464</v>
      </c>
      <c r="G57" s="140">
        <f t="shared" ref="G57:G65" si="5">((F57/E57)-1)</f>
        <v>5.8751697760155652E-2</v>
      </c>
      <c r="H57" s="218">
        <f>SUM(H43:H44)+215.983075</f>
        <v>1995.395031</v>
      </c>
      <c r="I57" s="276">
        <f>SUM(I43:I44)+200.087539988538</f>
        <v>2082.6469639377046</v>
      </c>
      <c r="J57" s="140">
        <f t="shared" ref="J57:J65" si="6">((I57/H57)-1)</f>
        <v>4.3726646394412372E-2</v>
      </c>
      <c r="L57" s="36"/>
      <c r="Q57" s="41"/>
      <c r="R57" s="41"/>
      <c r="T57" s="41">
        <v>2022</v>
      </c>
      <c r="U57" s="41">
        <v>2023</v>
      </c>
      <c r="V57" s="41"/>
      <c r="W57" s="41"/>
    </row>
    <row r="58" spans="3:23" ht="13.5">
      <c r="C58" s="343"/>
      <c r="D58" s="242" t="s">
        <v>110</v>
      </c>
      <c r="E58" s="231">
        <v>111.72030604999989</v>
      </c>
      <c r="F58" s="279">
        <v>98.152887482499906</v>
      </c>
      <c r="G58" s="240">
        <f t="shared" si="5"/>
        <v>-0.12144093627373298</v>
      </c>
      <c r="H58" s="233">
        <v>1496.0207361925006</v>
      </c>
      <c r="I58" s="232">
        <v>1476.562426584999</v>
      </c>
      <c r="J58" s="240">
        <f t="shared" si="6"/>
        <v>-1.3006711161654527E-2</v>
      </c>
      <c r="L58" s="36"/>
      <c r="M58" s="36"/>
      <c r="Q58" s="336" t="s">
        <v>80</v>
      </c>
      <c r="R58" s="41" t="s">
        <v>66</v>
      </c>
      <c r="T58" s="54">
        <f>SUM(E60,E64)</f>
        <v>1928.8703577450003</v>
      </c>
      <c r="U58" s="54">
        <f>SUM(F60,F64)</f>
        <v>1646.5579796517</v>
      </c>
      <c r="V58" s="119">
        <f t="shared" ref="V58:W61" si="7">T58/T$64</f>
        <v>0.38554351547484406</v>
      </c>
      <c r="W58" s="119">
        <f t="shared" si="7"/>
        <v>0.31734234121151811</v>
      </c>
    </row>
    <row r="59" spans="3:23">
      <c r="C59" s="341" t="s">
        <v>80</v>
      </c>
      <c r="D59" s="243" t="s">
        <v>81</v>
      </c>
      <c r="E59" s="113">
        <f>SUM(E42:E44)-E57</f>
        <v>2577.0849400000011</v>
      </c>
      <c r="F59" s="129">
        <f>SUM(F42:F44)-F57</f>
        <v>3039.8758774967441</v>
      </c>
      <c r="G59" s="130">
        <f t="shared" si="5"/>
        <v>0.17957923323114944</v>
      </c>
      <c r="H59" s="202">
        <f>SUM(H42:H44)-H57</f>
        <v>14618.920890999998</v>
      </c>
      <c r="I59" s="129">
        <f>SUM(I42:I44)-I57</f>
        <v>18373.59488361924</v>
      </c>
      <c r="J59" s="130">
        <f t="shared" si="6"/>
        <v>0.25683660378316797</v>
      </c>
      <c r="Q59" s="336"/>
      <c r="R59" s="41" t="s">
        <v>65</v>
      </c>
      <c r="T59" s="54">
        <f>SUM(E59,E63)</f>
        <v>2657.9555138468072</v>
      </c>
      <c r="U59" s="54">
        <f>SUM(F59,F63)</f>
        <v>3123.796269062469</v>
      </c>
      <c r="V59" s="119">
        <f t="shared" si="7"/>
        <v>0.53127339982675914</v>
      </c>
      <c r="W59" s="119">
        <f t="shared" si="7"/>
        <v>0.60205157288283517</v>
      </c>
    </row>
    <row r="60" spans="3:23">
      <c r="C60" s="341"/>
      <c r="D60" s="244" t="s">
        <v>41</v>
      </c>
      <c r="E60" s="113">
        <f>E41-E58</f>
        <v>1885.7762527450004</v>
      </c>
      <c r="F60" s="129">
        <f>F41-F58</f>
        <v>1613.1439367741918</v>
      </c>
      <c r="G60" s="130">
        <f t="shared" si="5"/>
        <v>-0.14457299246077349</v>
      </c>
      <c r="H60" s="202">
        <f>H41-H58</f>
        <v>19822.800583682492</v>
      </c>
      <c r="I60" s="129">
        <f>I41-I58</f>
        <v>17970.350767013839</v>
      </c>
      <c r="J60" s="130">
        <f t="shared" si="6"/>
        <v>-9.3450459174448497E-2</v>
      </c>
      <c r="Q60" s="336" t="s">
        <v>78</v>
      </c>
      <c r="R60" s="41" t="s">
        <v>66</v>
      </c>
      <c r="T60" s="54">
        <f>E58</f>
        <v>111.72030604999989</v>
      </c>
      <c r="U60" s="54">
        <f>F58</f>
        <v>98.152887482499906</v>
      </c>
      <c r="V60" s="119">
        <f t="shared" si="7"/>
        <v>2.2330707386056876E-2</v>
      </c>
      <c r="W60" s="119">
        <f t="shared" si="7"/>
        <v>1.8917078836759849E-2</v>
      </c>
    </row>
    <row r="61" spans="3:23">
      <c r="C61" s="328" t="s">
        <v>64</v>
      </c>
      <c r="D61" s="329"/>
      <c r="E61" s="160">
        <f>SUM(E62:E64)</f>
        <v>144.08378084680592</v>
      </c>
      <c r="F61" s="161">
        <f>SUM(F62:F64)</f>
        <v>136.38384847962482</v>
      </c>
      <c r="G61" s="162">
        <f t="shared" si="5"/>
        <v>-5.3440660162630604E-2</v>
      </c>
      <c r="H61" s="201">
        <f>SUM(H62:H64)</f>
        <v>1304.3441536247888</v>
      </c>
      <c r="I61" s="161">
        <f>SUM(I62:I64)</f>
        <v>1243.477105335214</v>
      </c>
      <c r="J61" s="162">
        <f t="shared" si="6"/>
        <v>-4.6664868409479587E-2</v>
      </c>
      <c r="Q61" s="336"/>
      <c r="R61" s="41" t="s">
        <v>89</v>
      </c>
      <c r="T61" s="54">
        <f>E57+E62</f>
        <v>304.44383599999998</v>
      </c>
      <c r="U61" s="54">
        <f>F57+F62</f>
        <v>320.07870887409626</v>
      </c>
      <c r="V61" s="119">
        <f t="shared" si="7"/>
        <v>6.0852377312339938E-2</v>
      </c>
      <c r="W61" s="119">
        <f t="shared" si="7"/>
        <v>6.1689007068886761E-2</v>
      </c>
    </row>
    <row r="62" spans="3:23">
      <c r="C62" s="266" t="s">
        <v>78</v>
      </c>
      <c r="D62" s="267" t="s">
        <v>114</v>
      </c>
      <c r="E62" s="321">
        <v>20.119101999999998</v>
      </c>
      <c r="F62" s="277">
        <v>19.049414036391596</v>
      </c>
      <c r="G62" s="268">
        <f t="shared" si="5"/>
        <v>-5.3167778741238125E-2</v>
      </c>
      <c r="H62" s="278">
        <v>140.83619300000004</v>
      </c>
      <c r="I62" s="277">
        <v>155.2245310363916</v>
      </c>
      <c r="J62" s="268">
        <f t="shared" si="6"/>
        <v>0.10216363940192252</v>
      </c>
      <c r="Q62" s="41"/>
      <c r="R62" s="41"/>
      <c r="T62" s="41"/>
      <c r="U62" s="41"/>
      <c r="V62" s="41"/>
      <c r="W62" s="41"/>
    </row>
    <row r="63" spans="3:23">
      <c r="C63" s="344" t="s">
        <v>80</v>
      </c>
      <c r="D63" s="243" t="s">
        <v>81</v>
      </c>
      <c r="E63" s="113">
        <f>E47-E62</f>
        <v>80.870573846805925</v>
      </c>
      <c r="F63" s="129">
        <f>F47-F62</f>
        <v>83.92039156572514</v>
      </c>
      <c r="G63" s="130">
        <f>((F63/E63)-1)</f>
        <v>3.7712329390620081E-2</v>
      </c>
      <c r="H63" s="202">
        <f>H47-H62</f>
        <v>744.1150095783014</v>
      </c>
      <c r="I63" s="129">
        <f>I47-I62</f>
        <v>720.23798653936592</v>
      </c>
      <c r="J63" s="130">
        <f>((I63/H63)-1)</f>
        <v>-3.2087812678939009E-2</v>
      </c>
      <c r="Q63" s="41"/>
      <c r="R63" s="41"/>
      <c r="T63" s="41"/>
      <c r="U63" s="41"/>
      <c r="V63" s="41"/>
      <c r="W63" s="41"/>
    </row>
    <row r="64" spans="3:23" ht="13.5" thickBot="1">
      <c r="C64" s="345"/>
      <c r="D64" s="245" t="s">
        <v>41</v>
      </c>
      <c r="E64" s="118">
        <f>E46</f>
        <v>43.094105000000006</v>
      </c>
      <c r="F64" s="132">
        <f>F46</f>
        <v>33.414042877508088</v>
      </c>
      <c r="G64" s="133">
        <f t="shared" si="5"/>
        <v>-0.22462613210071114</v>
      </c>
      <c r="H64" s="203">
        <f>H46</f>
        <v>419.39295104648727</v>
      </c>
      <c r="I64" s="132">
        <f>I46</f>
        <v>368.0145877594565</v>
      </c>
      <c r="J64" s="133">
        <f t="shared" si="6"/>
        <v>-0.12250650173978672</v>
      </c>
      <c r="Q64" s="41"/>
      <c r="R64" s="41"/>
      <c r="T64" s="54">
        <f>SUM(T58:T61)</f>
        <v>5002.9900136418073</v>
      </c>
      <c r="U64" s="54">
        <f>SUM(U58:U61)</f>
        <v>5188.5858450707656</v>
      </c>
      <c r="V64" s="41"/>
      <c r="W64" s="41"/>
    </row>
    <row r="65" spans="3:22" ht="14.25" thickTop="1" thickBot="1">
      <c r="C65" s="330" t="s">
        <v>108</v>
      </c>
      <c r="D65" s="331"/>
      <c r="E65" s="163">
        <f>SUM(E56,E61)</f>
        <v>5002.9900136418073</v>
      </c>
      <c r="F65" s="164">
        <f>SUM(F56,F61)</f>
        <v>5188.5858450707656</v>
      </c>
      <c r="G65" s="165">
        <f t="shared" si="5"/>
        <v>3.7096982189228411E-2</v>
      </c>
      <c r="H65" s="204">
        <f>SUM(H56,H61)</f>
        <v>39237.481395499788</v>
      </c>
      <c r="I65" s="164">
        <f>SUM(I56,I61)</f>
        <v>41146.632146491</v>
      </c>
      <c r="J65" s="165">
        <f t="shared" si="6"/>
        <v>4.8656302165464016E-2</v>
      </c>
      <c r="Q65" s="41"/>
      <c r="R65" s="41"/>
      <c r="S65" s="41"/>
      <c r="T65" s="41"/>
      <c r="U65" s="41"/>
      <c r="V65" s="41"/>
    </row>
    <row r="66" spans="3:22">
      <c r="C66" s="226" t="s">
        <v>111</v>
      </c>
    </row>
    <row r="67" spans="3:22">
      <c r="C67" s="5"/>
    </row>
    <row r="68" spans="3:22">
      <c r="C68" s="5"/>
    </row>
    <row r="69" spans="3:22">
      <c r="C69" s="5"/>
    </row>
    <row r="70" spans="3:22">
      <c r="C70" s="5"/>
    </row>
    <row r="71" spans="3:22">
      <c r="C71" s="5"/>
    </row>
    <row r="72" spans="3:22">
      <c r="C72" s="5"/>
    </row>
    <row r="73" spans="3:22">
      <c r="C73" s="5"/>
    </row>
    <row r="74" spans="3:22">
      <c r="C74" s="5"/>
    </row>
    <row r="75" spans="3:22">
      <c r="C75" s="5"/>
    </row>
    <row r="76" spans="3:22">
      <c r="C76" s="5"/>
    </row>
    <row r="77" spans="3:22">
      <c r="C77" s="5"/>
    </row>
    <row r="78" spans="3:22">
      <c r="C78" s="5"/>
    </row>
    <row r="79" spans="3:22">
      <c r="C79" s="5"/>
    </row>
    <row r="80" spans="3:22">
      <c r="C80" s="5"/>
    </row>
    <row r="81" spans="3:7">
      <c r="C81" s="5"/>
    </row>
    <row r="82" spans="3:7">
      <c r="C82" s="5"/>
    </row>
    <row r="83" spans="3:7">
      <c r="C83" s="72"/>
      <c r="D83" s="72"/>
      <c r="E83" s="36"/>
      <c r="F83" s="36"/>
      <c r="G83" s="74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83"/>
  <sheetViews>
    <sheetView tabSelected="1" view="pageBreakPreview" topLeftCell="A16" zoomScale="90" zoomScaleNormal="100" zoomScaleSheetLayoutView="90" workbookViewId="0">
      <selection activeCell="J27" sqref="J27"/>
    </sheetView>
  </sheetViews>
  <sheetFormatPr baseColWidth="10" defaultColWidth="11.42578125" defaultRowHeight="12.75"/>
  <cols>
    <col min="1" max="2" width="5.42578125" customWidth="1"/>
    <col min="3" max="3" width="26.42578125" bestFit="1" customWidth="1"/>
    <col min="4" max="5" width="11.7109375" customWidth="1"/>
    <col min="6" max="6" width="9.7109375" customWidth="1"/>
    <col min="7" max="7" width="11.7109375" customWidth="1"/>
    <col min="8" max="8" width="12.7109375" customWidth="1"/>
    <col min="9" max="9" width="9.7109375" customWidth="1"/>
    <col min="10" max="10" width="6.85546875" customWidth="1"/>
    <col min="11" max="11" width="6.85546875" style="41" customWidth="1"/>
    <col min="12" max="12" width="27.5703125" style="41" customWidth="1"/>
    <col min="13" max="13" width="21.85546875" style="42" customWidth="1"/>
    <col min="14" max="21" width="11.42578125" style="42"/>
    <col min="22" max="25" width="11.42578125" style="41"/>
  </cols>
  <sheetData>
    <row r="1" spans="2:25">
      <c r="N1" s="43">
        <v>3066.3426032056236</v>
      </c>
      <c r="O1" s="43"/>
      <c r="P1" s="43"/>
      <c r="Q1" s="43"/>
      <c r="R1" s="43"/>
      <c r="S1" s="43"/>
      <c r="T1" s="43"/>
      <c r="U1" s="43"/>
    </row>
    <row r="2" spans="2:25" ht="15">
      <c r="B2" s="12" t="s">
        <v>83</v>
      </c>
      <c r="D2" s="2"/>
      <c r="E2" s="12"/>
      <c r="F2" s="12"/>
      <c r="G2" s="12"/>
      <c r="H2" s="12"/>
      <c r="I2" s="12"/>
      <c r="J2" s="12"/>
      <c r="K2" s="44"/>
      <c r="L2" s="45"/>
      <c r="M2" s="46"/>
      <c r="N2" s="47">
        <v>1230.4754866556138</v>
      </c>
      <c r="O2" s="47"/>
      <c r="P2" s="47"/>
      <c r="Q2" s="47"/>
      <c r="R2" s="43"/>
      <c r="S2" s="43"/>
      <c r="T2" s="43"/>
      <c r="U2" s="43"/>
    </row>
    <row r="3" spans="2:25" ht="12" customHeight="1">
      <c r="C3" s="13"/>
      <c r="D3" s="2"/>
      <c r="E3" s="13"/>
      <c r="F3" s="13"/>
      <c r="G3" s="13"/>
      <c r="H3" s="13"/>
      <c r="I3" s="13"/>
      <c r="J3" s="13"/>
      <c r="K3" s="48"/>
      <c r="L3" s="49"/>
      <c r="M3" s="50"/>
      <c r="N3" s="47">
        <v>117.97097317393826</v>
      </c>
      <c r="O3" s="47"/>
      <c r="P3" s="47"/>
      <c r="Q3" s="47"/>
      <c r="R3" s="43"/>
      <c r="S3" s="43"/>
      <c r="T3" s="43"/>
      <c r="U3" s="43"/>
    </row>
    <row r="4" spans="2:25" ht="15">
      <c r="B4" s="12" t="s">
        <v>86</v>
      </c>
      <c r="D4" s="2"/>
      <c r="E4" s="12"/>
      <c r="F4" s="12"/>
      <c r="G4" s="12"/>
      <c r="H4" s="12"/>
      <c r="I4" s="12"/>
      <c r="J4" s="12"/>
      <c r="K4" s="44"/>
      <c r="L4" s="45"/>
      <c r="M4" s="46"/>
      <c r="N4" s="47">
        <v>0.26741999999999999</v>
      </c>
      <c r="O4" s="47"/>
      <c r="P4" s="47"/>
      <c r="Q4" s="47"/>
      <c r="R4" s="43"/>
      <c r="S4" s="43"/>
      <c r="T4" s="43"/>
      <c r="U4" s="43"/>
    </row>
    <row r="5" spans="2:25">
      <c r="N5" s="43">
        <v>87.475207379999986</v>
      </c>
      <c r="O5" s="43"/>
      <c r="P5" s="43"/>
      <c r="Q5" s="43"/>
      <c r="R5" s="43"/>
      <c r="S5" s="43"/>
      <c r="T5" s="43"/>
      <c r="U5" s="43"/>
    </row>
    <row r="6" spans="2:25">
      <c r="C6" s="5"/>
      <c r="N6" s="43">
        <v>59.658878850000001</v>
      </c>
      <c r="O6" s="43"/>
      <c r="P6" s="43"/>
      <c r="Q6" s="43"/>
      <c r="R6" s="43"/>
      <c r="S6" s="43"/>
      <c r="T6" s="43"/>
      <c r="U6" s="43"/>
    </row>
    <row r="7" spans="2:25">
      <c r="C7" s="5"/>
      <c r="N7" s="43">
        <v>34.086593865910203</v>
      </c>
      <c r="O7" s="43"/>
      <c r="P7" s="43"/>
      <c r="Q7" s="43"/>
      <c r="R7" s="43"/>
      <c r="S7" s="43"/>
      <c r="T7" s="43"/>
      <c r="U7" s="43"/>
    </row>
    <row r="8" spans="2:25" ht="19.5" customHeight="1">
      <c r="C8" s="15"/>
      <c r="D8" s="29"/>
      <c r="E8" s="30"/>
      <c r="M8" s="51" t="s">
        <v>1</v>
      </c>
      <c r="N8" s="52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</row>
    <row r="9" spans="2:25">
      <c r="C9" s="31"/>
      <c r="D9" s="32"/>
      <c r="E9" s="32"/>
      <c r="M9" s="42" t="s">
        <v>85</v>
      </c>
      <c r="N9" s="53">
        <f>E29</f>
        <v>1744.7108671341998</v>
      </c>
      <c r="O9"/>
      <c r="P9"/>
      <c r="Q9"/>
      <c r="R9"/>
      <c r="S9"/>
      <c r="T9"/>
      <c r="U9"/>
      <c r="V9"/>
      <c r="W9"/>
      <c r="X9"/>
      <c r="Y9"/>
    </row>
    <row r="10" spans="2:25">
      <c r="C10" s="31"/>
      <c r="D10" s="32"/>
      <c r="E10" s="32"/>
      <c r="M10" s="42" t="s">
        <v>2</v>
      </c>
      <c r="N10" s="53">
        <f t="shared" ref="N10:N11" si="0">E30</f>
        <v>2874.259941448684</v>
      </c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</row>
    <row r="11" spans="2:25">
      <c r="C11" s="31"/>
      <c r="D11" s="32"/>
      <c r="E11" s="32"/>
      <c r="M11" s="42" t="s">
        <v>120</v>
      </c>
      <c r="N11" s="42" t="str">
        <f t="shared" si="0"/>
        <v>--</v>
      </c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</row>
    <row r="12" spans="2:25">
      <c r="C12" s="31"/>
      <c r="D12" s="32"/>
      <c r="E12" s="32"/>
      <c r="M12" s="42" t="s">
        <v>84</v>
      </c>
      <c r="N12" s="53">
        <f>E32</f>
        <v>248.86702387737114</v>
      </c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</row>
    <row r="13" spans="2:25">
      <c r="C13" s="31"/>
      <c r="D13" s="32"/>
      <c r="E13" s="32"/>
      <c r="J13" s="14"/>
      <c r="M13" s="42" t="s">
        <v>6</v>
      </c>
      <c r="N13" s="53">
        <f>E33</f>
        <v>52.181566792429521</v>
      </c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</row>
    <row r="14" spans="2:25">
      <c r="C14" s="31"/>
      <c r="D14" s="32"/>
      <c r="E14" s="32"/>
      <c r="M14" s="42" t="s">
        <v>14</v>
      </c>
      <c r="N14" s="53">
        <f>E34</f>
        <v>180.04512728500004</v>
      </c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</row>
    <row r="15" spans="2:25">
      <c r="C15" s="31"/>
      <c r="D15" s="32"/>
      <c r="E15" s="32"/>
      <c r="M15" s="42" t="s">
        <v>5</v>
      </c>
      <c r="N15" s="53">
        <f>E35</f>
        <v>87.852014796666694</v>
      </c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</row>
    <row r="16" spans="2:25">
      <c r="C16" s="31"/>
      <c r="D16" s="32"/>
      <c r="E16" s="32"/>
      <c r="M16" s="42" t="s">
        <v>4</v>
      </c>
      <c r="N16" s="53">
        <f>E36</f>
        <v>0.66930373641375873</v>
      </c>
      <c r="O16" s="53"/>
      <c r="P16" s="53"/>
      <c r="Q16" s="53"/>
      <c r="R16" s="53"/>
      <c r="S16" s="53"/>
      <c r="T16" s="54"/>
      <c r="U16" s="54"/>
      <c r="V16" s="54"/>
      <c r="W16" s="54"/>
      <c r="X16" s="54"/>
      <c r="Y16" s="54"/>
    </row>
    <row r="17" spans="2:25">
      <c r="C17" s="15"/>
      <c r="D17" s="28"/>
      <c r="E17" s="28"/>
      <c r="M17" s="51" t="s">
        <v>7</v>
      </c>
      <c r="N17" s="55">
        <f>SUBTOTAL(109,N9:N16)</f>
        <v>5188.5858450707647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>
      <c r="C18" s="15"/>
      <c r="D18" s="16"/>
      <c r="E18" s="16"/>
      <c r="F18" s="16"/>
      <c r="G18" s="16"/>
      <c r="H18" s="16"/>
      <c r="I18" s="16"/>
      <c r="N18" s="53"/>
      <c r="O18" s="53"/>
      <c r="P18" s="53"/>
      <c r="Q18" s="53"/>
      <c r="R18" s="53"/>
      <c r="S18" s="53"/>
      <c r="T18" s="54"/>
      <c r="U18" s="54"/>
      <c r="V18" s="54"/>
      <c r="W18" s="54"/>
      <c r="X18" s="65"/>
      <c r="Y18" s="65"/>
    </row>
    <row r="19" spans="2:25">
      <c r="C19" s="15"/>
      <c r="D19" s="16"/>
      <c r="E19" s="16"/>
      <c r="F19" s="16"/>
      <c r="G19" s="16"/>
      <c r="H19" s="16"/>
      <c r="I19" s="16"/>
      <c r="N19" s="66"/>
      <c r="O19" s="66"/>
      <c r="P19" s="53"/>
      <c r="Q19" s="53"/>
      <c r="R19" s="53"/>
      <c r="S19" s="53"/>
      <c r="T19" s="54"/>
      <c r="U19" s="54"/>
      <c r="V19" s="54"/>
      <c r="W19" s="54"/>
      <c r="X19" s="65"/>
      <c r="Y19" s="65"/>
    </row>
    <row r="20" spans="2:25">
      <c r="B20" s="69"/>
      <c r="C20" s="70"/>
      <c r="D20" s="71"/>
      <c r="E20" s="71"/>
      <c r="F20" s="71"/>
      <c r="G20" s="71"/>
      <c r="H20" s="71"/>
      <c r="I20" s="71"/>
      <c r="J20" s="69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65"/>
      <c r="Y20" s="65"/>
    </row>
    <row r="21" spans="2:25">
      <c r="B21" s="69"/>
      <c r="C21" s="70"/>
      <c r="D21" s="71"/>
      <c r="E21" s="71"/>
      <c r="F21" s="71"/>
      <c r="G21" s="71"/>
      <c r="H21" s="71"/>
      <c r="I21" s="71"/>
      <c r="J21" s="6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65"/>
      <c r="Y21" s="65"/>
    </row>
    <row r="22" spans="2:25">
      <c r="B22" s="69"/>
      <c r="C22" s="70"/>
      <c r="D22" s="71"/>
      <c r="E22" s="71"/>
      <c r="F22" s="71"/>
      <c r="G22" s="71"/>
      <c r="H22" s="71"/>
      <c r="I22" s="71"/>
      <c r="J22" s="69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65"/>
      <c r="Y22" s="65"/>
    </row>
    <row r="23" spans="2:25">
      <c r="C23" s="15"/>
      <c r="D23" s="16"/>
      <c r="E23" s="16"/>
      <c r="F23" s="16"/>
      <c r="G23" s="16"/>
      <c r="H23" s="16"/>
      <c r="I23" s="16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65"/>
      <c r="Y23" s="65"/>
    </row>
    <row r="24" spans="2:25">
      <c r="C24" s="15"/>
      <c r="D24" s="16"/>
      <c r="E24" s="16"/>
      <c r="F24" s="272"/>
      <c r="G24" s="225"/>
      <c r="H24" s="16"/>
      <c r="I24" s="16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65"/>
      <c r="Y24" s="65"/>
    </row>
    <row r="25" spans="2:25">
      <c r="C25" s="5" t="s">
        <v>124</v>
      </c>
      <c r="E25" s="7"/>
      <c r="F25" s="7"/>
      <c r="G25" s="7"/>
      <c r="H25" s="16"/>
      <c r="I25" s="16"/>
      <c r="J25" s="36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65"/>
      <c r="Y25" s="65"/>
    </row>
    <row r="26" spans="2:25" ht="13.5" thickBot="1">
      <c r="B26" s="5"/>
      <c r="C26" s="69"/>
      <c r="D26" s="69"/>
      <c r="E26" s="136"/>
      <c r="F26" s="136"/>
      <c r="G26" s="7"/>
      <c r="H26" s="16"/>
      <c r="I26" s="16"/>
      <c r="N26" s="53"/>
      <c r="O26" s="53"/>
      <c r="P26" s="53"/>
      <c r="Q26" s="53"/>
      <c r="R26" s="53"/>
      <c r="S26" s="53"/>
      <c r="T26" s="54"/>
      <c r="U26" s="54"/>
      <c r="V26" s="54"/>
      <c r="W26" s="54"/>
      <c r="X26" s="65"/>
      <c r="Y26" s="65"/>
    </row>
    <row r="27" spans="2:25" ht="16.5" customHeight="1">
      <c r="C27" s="256" t="s">
        <v>61</v>
      </c>
      <c r="D27" s="348" t="s">
        <v>129</v>
      </c>
      <c r="E27" s="348"/>
      <c r="F27" s="349" t="s">
        <v>74</v>
      </c>
      <c r="G27" s="351" t="s">
        <v>130</v>
      </c>
      <c r="H27" s="352"/>
      <c r="I27" s="349" t="s">
        <v>74</v>
      </c>
      <c r="N27" s="53">
        <v>2022</v>
      </c>
      <c r="O27" s="53">
        <v>2023</v>
      </c>
      <c r="P27" s="53"/>
      <c r="Q27" s="53"/>
      <c r="R27" s="53"/>
      <c r="S27" s="53"/>
      <c r="T27" s="54"/>
      <c r="U27" s="54"/>
      <c r="V27" s="54"/>
      <c r="W27" s="54"/>
      <c r="X27" s="65"/>
      <c r="Y27" s="65"/>
    </row>
    <row r="28" spans="2:25" ht="12" customHeight="1">
      <c r="C28" s="257"/>
      <c r="D28" s="75">
        <v>2022</v>
      </c>
      <c r="E28" s="76">
        <v>2023</v>
      </c>
      <c r="F28" s="350"/>
      <c r="G28" s="205">
        <v>2022</v>
      </c>
      <c r="H28" s="76">
        <v>2023</v>
      </c>
      <c r="I28" s="350"/>
      <c r="M28" s="42" t="s">
        <v>85</v>
      </c>
      <c r="N28" s="53">
        <f t="shared" ref="N28:O29" si="1">D29</f>
        <v>2040.5906637950002</v>
      </c>
      <c r="O28" s="53">
        <f t="shared" si="1"/>
        <v>1744.7108671341998</v>
      </c>
      <c r="P28" s="53"/>
      <c r="Q28" s="53"/>
      <c r="R28" s="53"/>
      <c r="S28" s="53"/>
      <c r="T28" s="54"/>
      <c r="U28" s="54"/>
      <c r="V28" s="54"/>
      <c r="W28" s="54"/>
      <c r="X28" s="65"/>
      <c r="Y28" s="65"/>
    </row>
    <row r="29" spans="2:25">
      <c r="C29" s="137" t="s">
        <v>85</v>
      </c>
      <c r="D29" s="138">
        <f>'Resumen (G)'!E41+'Resumen (G)'!E46</f>
        <v>2040.5906637950002</v>
      </c>
      <c r="E29" s="139">
        <f>'Resumen (G)'!F41+'Resumen (G)'!F46</f>
        <v>1744.7108671341998</v>
      </c>
      <c r="F29" s="140">
        <f>+E29/D29-1-0.00003</f>
        <v>-0.14502713338418208</v>
      </c>
      <c r="G29" s="218">
        <f>'Resumen (G)'!H41+'Resumen (G)'!H46</f>
        <v>21738.214270921482</v>
      </c>
      <c r="H29" s="139">
        <f>'Resumen (G)'!I41+'Resumen (G)'!I46</f>
        <v>19814.927781358292</v>
      </c>
      <c r="I29" s="140">
        <f>+H29/G29-1</f>
        <v>-8.8474907165484562E-2</v>
      </c>
      <c r="J29" s="36"/>
      <c r="M29" s="42" t="s">
        <v>2</v>
      </c>
      <c r="N29" s="53">
        <f t="shared" si="1"/>
        <v>2580.9742469999997</v>
      </c>
      <c r="O29" s="53">
        <f t="shared" si="1"/>
        <v>2874.259941448684</v>
      </c>
      <c r="P29" s="53"/>
      <c r="Q29" s="53"/>
      <c r="R29" s="53"/>
      <c r="S29" s="53"/>
      <c r="T29" s="54"/>
      <c r="U29" s="54"/>
      <c r="V29" s="54"/>
      <c r="W29" s="54"/>
      <c r="X29" s="65"/>
      <c r="Y29" s="65"/>
    </row>
    <row r="30" spans="2:25">
      <c r="C30" s="141" t="s">
        <v>2</v>
      </c>
      <c r="D30" s="142">
        <v>2580.9742469999997</v>
      </c>
      <c r="E30" s="143">
        <v>2874.259941448684</v>
      </c>
      <c r="F30" s="144">
        <f t="shared" ref="F30:F37" si="2">+E30/D30-1</f>
        <v>0.11363371594644378</v>
      </c>
      <c r="G30" s="219">
        <v>14733.196161000002</v>
      </c>
      <c r="H30" s="143">
        <v>17956.831979069688</v>
      </c>
      <c r="I30" s="144">
        <f t="shared" ref="I30:I37" si="3">+H30/G30-1</f>
        <v>0.21880084829135171</v>
      </c>
      <c r="J30" s="223"/>
      <c r="K30" s="224"/>
      <c r="M30" s="42" t="s">
        <v>84</v>
      </c>
      <c r="N30" s="53">
        <f>D32</f>
        <v>75.459266846807623</v>
      </c>
      <c r="O30" s="53">
        <f>E32</f>
        <v>248.86702387737114</v>
      </c>
      <c r="P30" s="53"/>
      <c r="Q30" s="53"/>
      <c r="R30" s="53"/>
      <c r="S30" s="53"/>
      <c r="T30" s="54"/>
      <c r="U30" s="54"/>
      <c r="V30" s="54"/>
      <c r="W30" s="54"/>
      <c r="X30" s="65"/>
      <c r="Y30" s="65"/>
    </row>
    <row r="31" spans="2:25">
      <c r="C31" s="141" t="s">
        <v>120</v>
      </c>
      <c r="D31" s="308" t="s">
        <v>119</v>
      </c>
      <c r="E31" s="312" t="s">
        <v>119</v>
      </c>
      <c r="F31" s="144"/>
      <c r="G31" s="311" t="s">
        <v>119</v>
      </c>
      <c r="H31" s="312" t="s">
        <v>119</v>
      </c>
      <c r="I31" s="314" t="s">
        <v>119</v>
      </c>
      <c r="J31" s="223"/>
      <c r="K31" s="224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65"/>
      <c r="Y31" s="65"/>
    </row>
    <row r="32" spans="2:25">
      <c r="C32" s="141" t="s">
        <v>3</v>
      </c>
      <c r="D32" s="142">
        <f>'Resumen (G)'!E32-SUM('TipoRecurso (G)'!D29:D30,'TipoRecurso (G)'!D33:D36)</f>
        <v>75.459266846807623</v>
      </c>
      <c r="E32" s="143">
        <f>'Resumen (G)'!F32-SUM('TipoRecurso (G)'!E29:E30,'TipoRecurso (G)'!E33:E36)</f>
        <v>248.86702387737114</v>
      </c>
      <c r="F32" s="144">
        <f t="shared" si="2"/>
        <v>2.2980312992253742</v>
      </c>
      <c r="G32" s="219">
        <f>'Resumen (G)'!H32-SUM('TipoRecurso (G)'!G29:G30,'TipoRecurso (G)'!G33:G36)</f>
        <v>614.08167757830961</v>
      </c>
      <c r="H32" s="143">
        <f>'Resumen (G)'!I32-SUM('TipoRecurso (G)'!H29:H30,'TipoRecurso (G)'!H33:H36)</f>
        <v>1130.6750643525083</v>
      </c>
      <c r="I32" s="144">
        <f t="shared" si="3"/>
        <v>0.8412454004676293</v>
      </c>
      <c r="J32" s="36"/>
      <c r="M32" s="42" t="s">
        <v>4</v>
      </c>
      <c r="N32" s="77">
        <f>D36</f>
        <v>1.522</v>
      </c>
      <c r="O32" s="77">
        <f>E36</f>
        <v>0.66930373641375873</v>
      </c>
      <c r="P32" s="53"/>
      <c r="Q32" s="53"/>
      <c r="R32" s="53"/>
      <c r="S32" s="53"/>
      <c r="T32" s="54"/>
      <c r="U32" s="54"/>
      <c r="V32" s="54"/>
      <c r="W32" s="54"/>
      <c r="X32" s="65"/>
      <c r="Y32" s="65"/>
    </row>
    <row r="33" spans="2:25">
      <c r="C33" s="141" t="s">
        <v>6</v>
      </c>
      <c r="D33" s="142">
        <f>'Resumen (G)'!E57+'Resumen (G)'!E62-SUM('TipoRecurso (G)'!D34:D35)</f>
        <v>61.087923999999987</v>
      </c>
      <c r="E33" s="143">
        <f>'Resumen (G)'!F57+'Resumen (G)'!F62-SUM('TipoRecurso (G)'!E34:E35)</f>
        <v>52.181566792429521</v>
      </c>
      <c r="F33" s="144">
        <f t="shared" si="2"/>
        <v>-0.14579570927259644</v>
      </c>
      <c r="G33" s="219">
        <f>'Resumen (G)'!H57+'Resumen (G)'!H62-SUM('TipoRecurso (G)'!G34:G35)</f>
        <v>356.81926800000019</v>
      </c>
      <c r="H33" s="143">
        <f>'Resumen (G)'!I57+'Resumen (G)'!I62-SUM('TipoRecurso (G)'!H34:H35)</f>
        <v>355.31207102492954</v>
      </c>
      <c r="I33" s="323">
        <f t="shared" si="3"/>
        <v>-4.2239786643770705E-3</v>
      </c>
      <c r="M33" s="42" t="s">
        <v>90</v>
      </c>
      <c r="N33" s="53">
        <f t="shared" ref="N33:O35" si="4">D33</f>
        <v>61.087923999999987</v>
      </c>
      <c r="O33" s="53">
        <f t="shared" si="4"/>
        <v>52.181566792429521</v>
      </c>
      <c r="P33" s="53"/>
      <c r="Q33" s="53"/>
      <c r="R33" s="53"/>
      <c r="S33" s="53"/>
      <c r="T33" s="54"/>
      <c r="U33" s="54"/>
      <c r="V33" s="54"/>
      <c r="W33" s="54"/>
      <c r="X33" s="65"/>
      <c r="Y33" s="65"/>
    </row>
    <row r="34" spans="2:25">
      <c r="C34" s="141" t="s">
        <v>14</v>
      </c>
      <c r="D34" s="142">
        <f>'Resumen (G)'!E43</f>
        <v>175.89500899999999</v>
      </c>
      <c r="E34" s="143">
        <f>'Resumen (G)'!F43</f>
        <v>180.04512728500004</v>
      </c>
      <c r="F34" s="144">
        <f t="shared" si="2"/>
        <v>2.3594292462272515E-2</v>
      </c>
      <c r="G34" s="219">
        <f>'Resumen (G)'!H43</f>
        <v>1272.9222380000001</v>
      </c>
      <c r="H34" s="143">
        <f>'Resumen (G)'!I43</f>
        <v>1356.8625315849999</v>
      </c>
      <c r="I34" s="144">
        <f t="shared" si="3"/>
        <v>6.5942986208557208E-2</v>
      </c>
      <c r="M34" s="42" t="s">
        <v>14</v>
      </c>
      <c r="N34" s="53">
        <f t="shared" si="4"/>
        <v>175.89500899999999</v>
      </c>
      <c r="O34" s="53">
        <f t="shared" si="4"/>
        <v>180.04512728500004</v>
      </c>
      <c r="P34" s="53"/>
      <c r="Q34" s="53"/>
      <c r="R34" s="53"/>
      <c r="S34" s="53"/>
      <c r="T34" s="54"/>
      <c r="U34" s="54"/>
      <c r="V34" s="54"/>
      <c r="W34" s="54"/>
      <c r="X34" s="65"/>
      <c r="Y34" s="65"/>
    </row>
    <row r="35" spans="2:25">
      <c r="C35" s="141" t="s">
        <v>5</v>
      </c>
      <c r="D35" s="142">
        <f>'Resumen (G)'!E44</f>
        <v>67.460902999999988</v>
      </c>
      <c r="E35" s="143">
        <f>'Resumen (G)'!F44</f>
        <v>87.852014796666694</v>
      </c>
      <c r="F35" s="144">
        <f t="shared" si="2"/>
        <v>0.30226562186199479</v>
      </c>
      <c r="G35" s="219">
        <f>'Resumen (G)'!H44</f>
        <v>506.48971799999993</v>
      </c>
      <c r="H35" s="143">
        <f>'Resumen (G)'!I44</f>
        <v>525.69689236416673</v>
      </c>
      <c r="I35" s="363">
        <f t="shared" si="3"/>
        <v>3.7922140729748754E-2</v>
      </c>
      <c r="M35" s="42" t="s">
        <v>5</v>
      </c>
      <c r="N35" s="53">
        <f t="shared" si="4"/>
        <v>67.460902999999988</v>
      </c>
      <c r="O35" s="53">
        <f t="shared" si="4"/>
        <v>87.852014796666694</v>
      </c>
      <c r="P35" s="53"/>
      <c r="Q35" s="53"/>
      <c r="R35" s="53"/>
      <c r="S35" s="53"/>
      <c r="T35" s="54"/>
      <c r="U35" s="54"/>
      <c r="V35" s="54"/>
      <c r="W35" s="54"/>
      <c r="X35" s="65"/>
      <c r="Y35" s="65"/>
    </row>
    <row r="36" spans="2:25" ht="13.5" thickBot="1">
      <c r="C36" s="145" t="s">
        <v>118</v>
      </c>
      <c r="D36" s="313">
        <v>1.522</v>
      </c>
      <c r="E36" s="310">
        <v>0.66930373641375873</v>
      </c>
      <c r="F36" s="146">
        <f t="shared" si="2"/>
        <v>-0.56024721654812171</v>
      </c>
      <c r="G36" s="309">
        <v>15.758061999999999</v>
      </c>
      <c r="H36" s="310">
        <v>6.3258267364137595</v>
      </c>
      <c r="I36" s="146">
        <f t="shared" si="3"/>
        <v>-0.59856569060245102</v>
      </c>
      <c r="N36" s="53">
        <f>SUM(N28:N35)</f>
        <v>5002.9900136418073</v>
      </c>
      <c r="O36" s="53">
        <f>SUM(O28:O35)</f>
        <v>5188.5858450707656</v>
      </c>
      <c r="P36" s="53"/>
      <c r="Q36" s="53"/>
      <c r="R36" s="53"/>
      <c r="S36" s="53"/>
      <c r="T36" s="54"/>
      <c r="U36" s="54"/>
      <c r="V36" s="54"/>
      <c r="W36" s="54"/>
      <c r="X36" s="65"/>
      <c r="Y36" s="65"/>
    </row>
    <row r="37" spans="2:25" ht="15" customHeight="1" thickTop="1" thickBot="1">
      <c r="C37" s="258" t="s">
        <v>108</v>
      </c>
      <c r="D37" s="259">
        <f>SUM(D29:D36)</f>
        <v>5002.9900136418073</v>
      </c>
      <c r="E37" s="260">
        <f>SUM(E29:E36)</f>
        <v>5188.5858450707647</v>
      </c>
      <c r="F37" s="261">
        <f t="shared" si="2"/>
        <v>3.7096982189228411E-2</v>
      </c>
      <c r="G37" s="262">
        <f>SUM(G29:G36)</f>
        <v>39237.481395499788</v>
      </c>
      <c r="H37" s="260">
        <f>SUM(H29:H36)</f>
        <v>41146.632146491</v>
      </c>
      <c r="I37" s="263">
        <f t="shared" si="3"/>
        <v>4.8656302165464016E-2</v>
      </c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65"/>
      <c r="Y37" s="65"/>
    </row>
    <row r="38" spans="2:25">
      <c r="B38" s="9"/>
      <c r="C38" s="147"/>
      <c r="D38" s="147"/>
      <c r="E38" s="148"/>
      <c r="F38" s="149"/>
      <c r="G38" s="10"/>
      <c r="H38" s="10"/>
      <c r="I38" s="11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65"/>
      <c r="Y38" s="65"/>
    </row>
    <row r="39" spans="2:25">
      <c r="C39" s="15"/>
      <c r="D39" s="16"/>
      <c r="E39" s="16"/>
      <c r="G39" s="15"/>
      <c r="H39" s="16"/>
      <c r="I39" s="16"/>
      <c r="N39" s="53"/>
      <c r="O39" s="53"/>
      <c r="P39" s="53"/>
      <c r="Q39" s="53"/>
      <c r="R39" s="53"/>
      <c r="S39" s="53"/>
      <c r="T39" s="54"/>
      <c r="U39" s="54"/>
      <c r="V39" s="54"/>
      <c r="W39" s="54"/>
      <c r="X39" s="65"/>
      <c r="Y39" s="65"/>
    </row>
    <row r="40" spans="2:25">
      <c r="C40" s="8"/>
      <c r="D40" s="16"/>
      <c r="E40" s="16"/>
      <c r="G40" s="8"/>
      <c r="H40" s="16"/>
      <c r="I40" s="16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65"/>
      <c r="Y40" s="65"/>
    </row>
    <row r="41" spans="2:25">
      <c r="C41" s="15"/>
      <c r="D41" s="16"/>
      <c r="E41" s="16"/>
      <c r="G41" s="15"/>
      <c r="H41" s="16"/>
      <c r="I41" s="16"/>
      <c r="M41" s="196"/>
      <c r="N41" s="196"/>
      <c r="O41" s="53"/>
      <c r="P41" s="53"/>
      <c r="Q41" s="53"/>
      <c r="R41" s="53"/>
      <c r="S41" s="53"/>
      <c r="T41" s="54"/>
      <c r="U41" s="54"/>
      <c r="V41" s="54"/>
      <c r="W41" s="54"/>
      <c r="X41" s="65"/>
      <c r="Y41" s="65"/>
    </row>
    <row r="42" spans="2:25">
      <c r="C42" s="15"/>
      <c r="D42" s="16"/>
      <c r="E42" s="16"/>
      <c r="G42" s="15"/>
      <c r="H42" s="16"/>
      <c r="I42" s="16"/>
      <c r="M42" s="196">
        <f t="shared" ref="M42:N44" si="5">N28/N$36</f>
        <v>0.40787422286090091</v>
      </c>
      <c r="N42" s="196">
        <f t="shared" si="5"/>
        <v>0.33625942004827797</v>
      </c>
      <c r="O42" s="53"/>
      <c r="P42" s="53"/>
      <c r="Q42" s="53"/>
      <c r="R42" s="53"/>
      <c r="S42" s="53"/>
      <c r="T42" s="54"/>
      <c r="U42" s="54"/>
      <c r="V42" s="54"/>
      <c r="W42" s="54"/>
      <c r="X42" s="65"/>
      <c r="Y42" s="65"/>
    </row>
    <row r="43" spans="2:25">
      <c r="C43" s="15"/>
      <c r="D43" s="16"/>
      <c r="E43" s="16"/>
      <c r="G43" s="15"/>
      <c r="H43" s="16"/>
      <c r="I43" s="16"/>
      <c r="M43" s="196">
        <f t="shared" si="5"/>
        <v>0.51588634795639754</v>
      </c>
      <c r="N43" s="196">
        <f t="shared" si="5"/>
        <v>0.55395825129871834</v>
      </c>
      <c r="O43" s="53"/>
      <c r="P43" s="53"/>
      <c r="Q43" s="53"/>
      <c r="R43" s="53"/>
      <c r="S43" s="53"/>
      <c r="T43" s="54"/>
      <c r="U43" s="54"/>
      <c r="V43" s="54"/>
      <c r="W43" s="54"/>
      <c r="X43" s="65"/>
      <c r="Y43" s="65"/>
    </row>
    <row r="44" spans="2:25">
      <c r="C44" s="15"/>
      <c r="D44" s="16"/>
      <c r="E44" s="16"/>
      <c r="G44" s="15"/>
      <c r="H44" s="16"/>
      <c r="I44" s="16"/>
      <c r="M44" s="196">
        <f t="shared" si="5"/>
        <v>1.5082833793601529E-2</v>
      </c>
      <c r="N44" s="196">
        <f t="shared" si="5"/>
        <v>4.7964326178355235E-2</v>
      </c>
      <c r="O44" s="53"/>
      <c r="P44" s="53"/>
      <c r="Q44" s="53"/>
      <c r="R44" s="53"/>
      <c r="S44" s="53"/>
      <c r="T44" s="54"/>
      <c r="U44" s="54"/>
      <c r="V44" s="54"/>
      <c r="W44" s="54"/>
      <c r="X44" s="65"/>
      <c r="Y44" s="65"/>
    </row>
    <row r="45" spans="2:25">
      <c r="C45" s="15"/>
      <c r="D45" s="16"/>
      <c r="E45" s="16"/>
      <c r="G45" s="15"/>
      <c r="H45" s="16"/>
      <c r="I45" s="16"/>
      <c r="M45" s="196">
        <f t="shared" ref="M45:N49" si="6">N32/N$36</f>
        <v>3.0421807676008058E-4</v>
      </c>
      <c r="N45" s="196">
        <f t="shared" si="6"/>
        <v>1.2899540576159251E-4</v>
      </c>
      <c r="O45" s="53"/>
      <c r="P45" s="53"/>
      <c r="Q45" s="53"/>
      <c r="R45" s="53"/>
      <c r="S45" s="53"/>
      <c r="T45" s="54"/>
      <c r="U45" s="54"/>
      <c r="V45" s="54"/>
      <c r="W45" s="54"/>
      <c r="X45" s="65"/>
      <c r="Y45" s="65"/>
    </row>
    <row r="46" spans="2:25">
      <c r="C46" s="15"/>
      <c r="D46" s="16"/>
      <c r="E46" s="16"/>
      <c r="G46" s="15"/>
      <c r="H46" s="16"/>
      <c r="I46" s="16"/>
      <c r="M46" s="196">
        <f t="shared" si="6"/>
        <v>1.2210283017441502E-2</v>
      </c>
      <c r="N46" s="196">
        <f t="shared" si="6"/>
        <v>1.0056992088124127E-2</v>
      </c>
      <c r="O46" s="53"/>
      <c r="P46" s="53"/>
      <c r="Q46" s="53"/>
      <c r="R46" s="53"/>
      <c r="S46" s="53"/>
      <c r="T46" s="54"/>
      <c r="U46" s="54"/>
      <c r="V46" s="54"/>
      <c r="W46" s="54"/>
      <c r="X46" s="65"/>
      <c r="Y46" s="65"/>
    </row>
    <row r="47" spans="2:25">
      <c r="C47" s="15"/>
      <c r="D47" s="16"/>
      <c r="E47" s="16"/>
      <c r="G47" s="15"/>
      <c r="H47" s="16"/>
      <c r="I47" s="16"/>
      <c r="M47" s="196">
        <f t="shared" si="6"/>
        <v>3.5157977233690581E-2</v>
      </c>
      <c r="N47" s="196">
        <f t="shared" si="6"/>
        <v>3.4700230980286392E-2</v>
      </c>
      <c r="O47" s="53"/>
      <c r="P47" s="53"/>
      <c r="Q47" s="53"/>
      <c r="R47" s="53"/>
      <c r="S47" s="53"/>
      <c r="T47" s="54"/>
      <c r="U47" s="54"/>
      <c r="V47" s="54"/>
      <c r="W47" s="54"/>
      <c r="X47" s="65"/>
      <c r="Y47" s="65"/>
    </row>
    <row r="48" spans="2:25">
      <c r="C48" s="15"/>
      <c r="D48" s="16"/>
      <c r="E48" s="16"/>
      <c r="G48" s="15"/>
      <c r="H48" s="16"/>
      <c r="I48" s="16"/>
      <c r="M48" s="196">
        <f t="shared" si="6"/>
        <v>1.348411706120785E-2</v>
      </c>
      <c r="N48" s="196">
        <f t="shared" si="6"/>
        <v>1.6931784000476242E-2</v>
      </c>
      <c r="O48" s="53"/>
      <c r="P48" s="53"/>
      <c r="Q48" s="53"/>
      <c r="R48" s="53"/>
      <c r="S48" s="53"/>
      <c r="T48" s="54"/>
      <c r="U48" s="54"/>
      <c r="V48" s="54"/>
      <c r="W48" s="54"/>
      <c r="X48" s="65"/>
      <c r="Y48" s="65"/>
    </row>
    <row r="49" spans="2:25">
      <c r="C49" s="15"/>
      <c r="D49" s="16"/>
      <c r="E49" s="16"/>
      <c r="G49" s="15"/>
      <c r="H49" s="16"/>
      <c r="I49" s="16"/>
      <c r="M49" s="196">
        <f t="shared" si="6"/>
        <v>1</v>
      </c>
      <c r="N49" s="196">
        <f t="shared" si="6"/>
        <v>1</v>
      </c>
      <c r="O49" s="53"/>
      <c r="P49" s="53"/>
      <c r="Q49" s="53"/>
      <c r="R49" s="53"/>
      <c r="S49" s="53"/>
      <c r="T49" s="54"/>
      <c r="U49" s="54"/>
      <c r="V49" s="54"/>
      <c r="W49" s="54"/>
      <c r="X49" s="65"/>
      <c r="Y49" s="65"/>
    </row>
    <row r="50" spans="2:25">
      <c r="C50" s="15"/>
      <c r="D50" s="16"/>
      <c r="E50" s="16"/>
      <c r="G50" s="15"/>
      <c r="H50" s="16"/>
      <c r="I50" s="16"/>
      <c r="N50" s="53"/>
      <c r="O50" s="53"/>
      <c r="P50" s="53"/>
      <c r="Q50" s="53"/>
      <c r="R50" s="53"/>
      <c r="S50" s="53"/>
      <c r="T50" s="54"/>
      <c r="U50" s="54"/>
      <c r="V50" s="54"/>
      <c r="W50" s="54"/>
      <c r="X50" s="65"/>
      <c r="Y50" s="65"/>
    </row>
    <row r="51" spans="2:25" ht="15">
      <c r="B51" s="12" t="s">
        <v>100</v>
      </c>
      <c r="D51" s="16"/>
      <c r="E51" s="16"/>
      <c r="F51" s="16"/>
      <c r="G51" s="16"/>
      <c r="H51" s="16"/>
      <c r="I51" s="16"/>
      <c r="M51" s="197">
        <f>SUM(M41:M48)</f>
        <v>1</v>
      </c>
      <c r="N51" s="197">
        <f>SUM(N41:N48)</f>
        <v>0.99999999999999989</v>
      </c>
      <c r="O51" s="53"/>
      <c r="P51" s="53"/>
      <c r="Q51" s="53"/>
      <c r="R51" s="53"/>
      <c r="S51" s="53"/>
      <c r="T51" s="54"/>
      <c r="U51" s="54"/>
      <c r="V51" s="54"/>
      <c r="W51" s="54"/>
      <c r="X51" s="65"/>
      <c r="Y51" s="65"/>
    </row>
    <row r="52" spans="2:25">
      <c r="C52" s="15"/>
      <c r="D52" s="16"/>
      <c r="E52" s="16"/>
      <c r="F52" s="16"/>
      <c r="G52" s="16"/>
      <c r="H52" s="16"/>
      <c r="I52" s="16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65"/>
      <c r="Y52" s="65"/>
    </row>
    <row r="53" spans="2:25">
      <c r="C53" s="5" t="s">
        <v>125</v>
      </c>
      <c r="D53" s="16"/>
      <c r="E53" s="16"/>
      <c r="F53" s="16"/>
      <c r="G53" s="16"/>
      <c r="H53" s="16"/>
      <c r="I53" s="16"/>
      <c r="N53" s="53"/>
      <c r="O53" s="53"/>
      <c r="P53" s="53"/>
      <c r="Q53" s="53"/>
      <c r="R53" s="53"/>
      <c r="S53" s="53"/>
      <c r="T53" s="54"/>
      <c r="U53" s="54"/>
      <c r="V53" s="54"/>
      <c r="W53" s="54"/>
      <c r="X53" s="65"/>
      <c r="Y53" s="65"/>
    </row>
    <row r="54" spans="2:25" ht="13.5" thickBot="1">
      <c r="C54" s="5"/>
      <c r="D54" s="16"/>
      <c r="E54" s="16"/>
      <c r="F54" s="16"/>
      <c r="G54" s="16"/>
      <c r="H54" s="16"/>
      <c r="I54" s="16"/>
      <c r="N54" s="53"/>
      <c r="O54" s="53"/>
      <c r="P54" s="53"/>
      <c r="Q54" s="53"/>
      <c r="R54" s="53"/>
      <c r="S54" s="53"/>
      <c r="T54" s="53"/>
      <c r="U54" s="53"/>
      <c r="V54" s="56"/>
    </row>
    <row r="55" spans="2:25" ht="15">
      <c r="C55" s="346" t="s">
        <v>91</v>
      </c>
      <c r="D55" s="348" t="s">
        <v>129</v>
      </c>
      <c r="E55" s="348"/>
      <c r="F55" s="349" t="s">
        <v>74</v>
      </c>
      <c r="G55" s="351" t="s">
        <v>130</v>
      </c>
      <c r="H55" s="352"/>
      <c r="I55" s="349" t="s">
        <v>74</v>
      </c>
      <c r="N55" s="53"/>
      <c r="O55" s="53"/>
      <c r="P55" s="53"/>
      <c r="Q55" s="53"/>
      <c r="R55" s="53"/>
      <c r="S55" s="53"/>
      <c r="T55" s="53"/>
      <c r="U55" s="53"/>
      <c r="V55" s="56"/>
    </row>
    <row r="56" spans="2:25">
      <c r="C56" s="347"/>
      <c r="D56" s="75">
        <v>2022</v>
      </c>
      <c r="E56" s="76">
        <v>2023</v>
      </c>
      <c r="F56" s="350"/>
      <c r="G56" s="205">
        <v>2022</v>
      </c>
      <c r="H56" s="76">
        <v>2023</v>
      </c>
      <c r="I56" s="350"/>
      <c r="N56" s="53"/>
      <c r="O56" s="53"/>
      <c r="P56" s="53"/>
      <c r="Q56" s="53"/>
      <c r="R56" s="53"/>
      <c r="S56" s="53"/>
      <c r="T56" s="53"/>
      <c r="U56" s="53"/>
      <c r="V56" s="56"/>
    </row>
    <row r="57" spans="2:25" ht="24.75" customHeight="1">
      <c r="C57" s="249" t="s">
        <v>42</v>
      </c>
      <c r="D57" s="250">
        <f>SUM(D29:D32,D36)</f>
        <v>4698.5461776418069</v>
      </c>
      <c r="E57" s="251">
        <f>SUM(E29:E32,E36)</f>
        <v>4868.5071361966693</v>
      </c>
      <c r="F57" s="252">
        <f>+E57/D57-1</f>
        <v>3.6173095278626333E-2</v>
      </c>
      <c r="G57" s="253">
        <f>SUM(G29:G32,G36)</f>
        <v>37101.250171499792</v>
      </c>
      <c r="H57" s="251">
        <f>SUM(H29:H32,H36)</f>
        <v>38908.760651516903</v>
      </c>
      <c r="I57" s="252">
        <f>+H57/G57-1</f>
        <v>4.871831735216281E-2</v>
      </c>
      <c r="M57" s="51"/>
      <c r="N57" s="55"/>
      <c r="O57" s="55"/>
      <c r="P57" s="55"/>
      <c r="Q57" s="55"/>
      <c r="R57" s="55"/>
      <c r="S57" s="55"/>
      <c r="T57" s="53"/>
      <c r="U57" s="53"/>
    </row>
    <row r="58" spans="2:25" ht="24.75" thickBot="1">
      <c r="C58" s="254" t="s">
        <v>104</v>
      </c>
      <c r="D58" s="300">
        <f>SUM(D33:D35)</f>
        <v>304.44383599999998</v>
      </c>
      <c r="E58" s="255">
        <f>SUM(E33:E35)</f>
        <v>320.07870887409626</v>
      </c>
      <c r="F58" s="301">
        <f>+E58/D58-1</f>
        <v>5.1355524485298787E-2</v>
      </c>
      <c r="G58" s="304">
        <f>SUM(G33:G35)</f>
        <v>2136.2312240000001</v>
      </c>
      <c r="H58" s="255">
        <f>SUM(H33:H35)</f>
        <v>2237.8714949740961</v>
      </c>
      <c r="I58" s="305">
        <f>+H58/G58-1</f>
        <v>4.7579246025521105E-2</v>
      </c>
      <c r="N58" s="53"/>
      <c r="O58" s="53"/>
      <c r="P58" s="53"/>
      <c r="Q58" s="53"/>
      <c r="R58" s="53"/>
      <c r="S58" s="53"/>
      <c r="T58" s="53"/>
      <c r="U58" s="53"/>
    </row>
    <row r="59" spans="2:25">
      <c r="C59" s="90" t="s">
        <v>71</v>
      </c>
      <c r="D59" s="78">
        <f>SUM(D57:D58)</f>
        <v>5002.9900136418073</v>
      </c>
      <c r="E59" s="79">
        <f>SUM(E57:E58)</f>
        <v>5188.5858450707656</v>
      </c>
      <c r="F59" s="80">
        <f>+E59/D59-1</f>
        <v>3.7096982189228411E-2</v>
      </c>
      <c r="G59" s="220">
        <f>SUM(G57:G58)</f>
        <v>39237.481395499795</v>
      </c>
      <c r="H59" s="79">
        <f>SUM(H57:H58)</f>
        <v>41146.632146491</v>
      </c>
      <c r="I59" s="80">
        <f>+H59/G59-1</f>
        <v>4.8656302165463794E-2</v>
      </c>
      <c r="N59" s="57"/>
      <c r="O59" s="57"/>
      <c r="P59" s="57"/>
      <c r="Q59" s="57"/>
      <c r="R59" s="57"/>
      <c r="S59" s="57"/>
      <c r="T59" s="57"/>
      <c r="U59" s="57"/>
    </row>
    <row r="60" spans="2:25" ht="13.5" thickBot="1">
      <c r="C60" s="103" t="s">
        <v>8</v>
      </c>
      <c r="D60" s="81">
        <f>+D58/D59</f>
        <v>6.0852377312339938E-2</v>
      </c>
      <c r="E60" s="82">
        <f>+E58/E59</f>
        <v>6.1689007068886761E-2</v>
      </c>
      <c r="F60" s="83"/>
      <c r="G60" s="221">
        <f>+G58/G59</f>
        <v>5.4443637767356994E-2</v>
      </c>
      <c r="H60" s="82">
        <f>+H58/H59</f>
        <v>5.4387719680356453E-2</v>
      </c>
      <c r="I60" s="83"/>
      <c r="N60" s="57"/>
      <c r="O60" s="57"/>
      <c r="P60" s="57"/>
      <c r="Q60" s="57"/>
      <c r="R60" s="57"/>
      <c r="S60" s="57"/>
      <c r="T60" s="57"/>
      <c r="U60" s="57"/>
    </row>
    <row r="61" spans="2:25">
      <c r="C61" s="227" t="s">
        <v>105</v>
      </c>
      <c r="D61" s="101"/>
      <c r="E61" s="101"/>
      <c r="F61" s="102"/>
      <c r="G61" s="16"/>
      <c r="H61" s="16"/>
      <c r="I61" s="16"/>
      <c r="N61" s="57"/>
      <c r="O61" s="57"/>
      <c r="P61" s="57"/>
      <c r="Q61" s="57"/>
      <c r="R61" s="57"/>
      <c r="S61" s="57"/>
      <c r="T61" s="57"/>
      <c r="U61" s="57"/>
    </row>
    <row r="62" spans="2:25">
      <c r="C62" s="15"/>
      <c r="D62" s="16"/>
      <c r="E62" s="16"/>
      <c r="F62" s="16"/>
      <c r="G62" s="16"/>
      <c r="H62" s="16"/>
      <c r="I62" s="16"/>
      <c r="K62" s="58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2:25">
      <c r="K63" s="58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2:25">
      <c r="K64" s="58"/>
      <c r="L64" s="42"/>
      <c r="P64" s="59"/>
      <c r="Q64" s="59"/>
      <c r="R64" s="59"/>
      <c r="S64" s="59"/>
      <c r="T64" s="59"/>
      <c r="U64" s="59"/>
      <c r="V64" s="59"/>
    </row>
    <row r="65" spans="2:24" ht="25.5">
      <c r="L65" s="68" t="s">
        <v>57</v>
      </c>
      <c r="M65" s="59">
        <f>D57</f>
        <v>4698.5461776418069</v>
      </c>
      <c r="N65" s="59">
        <f>E57</f>
        <v>4868.5071361966693</v>
      </c>
      <c r="O65" s="67">
        <v>4.4847805250167516E-2</v>
      </c>
      <c r="P65" s="60"/>
      <c r="Q65" s="60"/>
      <c r="R65" s="60"/>
      <c r="S65" s="60"/>
      <c r="T65" s="60"/>
    </row>
    <row r="66" spans="2:24" ht="38.25">
      <c r="K66" s="58"/>
      <c r="L66" s="68" t="s">
        <v>58</v>
      </c>
      <c r="M66" s="59">
        <f>D58</f>
        <v>304.44383599999998</v>
      </c>
      <c r="N66" s="59">
        <f>E58</f>
        <v>320.07870887409626</v>
      </c>
      <c r="O66" s="67">
        <v>0.12281081992035348</v>
      </c>
      <c r="P66" s="59"/>
      <c r="Q66" s="59"/>
      <c r="R66" s="59"/>
      <c r="S66" s="59"/>
      <c r="T66" s="59"/>
      <c r="U66" s="59"/>
      <c r="V66" s="59"/>
      <c r="W66" s="59"/>
      <c r="X66" s="59"/>
    </row>
    <row r="67" spans="2:24">
      <c r="K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>
      <c r="K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2:24">
      <c r="K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2:24" ht="26.25" customHeight="1"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2:24" ht="24.75" customHeight="1"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2:24">
      <c r="M72" s="51"/>
      <c r="N72" s="55"/>
      <c r="O72" s="55"/>
      <c r="P72" s="55"/>
      <c r="Q72" s="55"/>
      <c r="R72" s="55"/>
      <c r="S72" s="55"/>
      <c r="T72" s="55"/>
      <c r="U72" s="55"/>
      <c r="V72" s="53"/>
    </row>
    <row r="73" spans="2:24">
      <c r="C73" s="227" t="s">
        <v>105</v>
      </c>
      <c r="M73" s="51"/>
      <c r="N73" s="61"/>
      <c r="O73" s="61"/>
      <c r="P73" s="61"/>
      <c r="Q73" s="61"/>
      <c r="R73" s="61"/>
      <c r="S73" s="61"/>
      <c r="T73" s="61"/>
      <c r="U73" s="61"/>
      <c r="V73" s="62"/>
    </row>
    <row r="74" spans="2:24" ht="15">
      <c r="B74" s="12" t="s">
        <v>115</v>
      </c>
    </row>
    <row r="75" spans="2:24" ht="15">
      <c r="B75" s="12"/>
    </row>
    <row r="76" spans="2:24" ht="15">
      <c r="B76" s="12"/>
      <c r="C76" s="5" t="s">
        <v>126</v>
      </c>
    </row>
    <row r="77" spans="2:24" ht="13.5" thickBot="1">
      <c r="N77" s="42">
        <v>2021</v>
      </c>
      <c r="O77" s="42">
        <v>2022</v>
      </c>
    </row>
    <row r="78" spans="2:24" ht="15" customHeight="1">
      <c r="C78" s="273"/>
      <c r="D78" s="348" t="s">
        <v>129</v>
      </c>
      <c r="E78" s="348"/>
      <c r="F78" s="84" t="s">
        <v>74</v>
      </c>
      <c r="G78" s="351" t="s">
        <v>130</v>
      </c>
      <c r="H78" s="352"/>
      <c r="I78" s="84" t="s">
        <v>74</v>
      </c>
      <c r="M78" s="42" t="s">
        <v>96</v>
      </c>
      <c r="N78" s="53">
        <f>D80</f>
        <v>8.0325959774999998</v>
      </c>
      <c r="O78" s="53">
        <f>E80</f>
        <v>63.310229450000023</v>
      </c>
    </row>
    <row r="79" spans="2:24" ht="12.75" customHeight="1">
      <c r="C79" s="298" t="s">
        <v>95</v>
      </c>
      <c r="D79" s="299">
        <v>2022</v>
      </c>
      <c r="E79" s="76">
        <v>2023</v>
      </c>
      <c r="F79" s="85"/>
      <c r="G79" s="292">
        <v>2022</v>
      </c>
      <c r="H79" s="76">
        <v>2023</v>
      </c>
      <c r="I79" s="85"/>
      <c r="M79" s="42" t="s">
        <v>97</v>
      </c>
      <c r="N79" s="53">
        <f>D81</f>
        <v>4850.8736368175014</v>
      </c>
      <c r="O79" s="53">
        <f>E81</f>
        <v>4988.89176714114</v>
      </c>
    </row>
    <row r="80" spans="2:24" ht="12.75" customHeight="1">
      <c r="C80" s="110" t="s">
        <v>96</v>
      </c>
      <c r="D80" s="113">
        <v>8.0325959774999998</v>
      </c>
      <c r="E80" s="297">
        <v>63.310229450000023</v>
      </c>
      <c r="F80" s="130">
        <f>((E80/D80)-1)</f>
        <v>6.8816648599453378</v>
      </c>
      <c r="G80" s="202">
        <v>267.66177220750001</v>
      </c>
      <c r="H80" s="297">
        <v>433.90588985250002</v>
      </c>
      <c r="I80" s="130">
        <f>((H80/G80)-1)</f>
        <v>0.62109772446743805</v>
      </c>
      <c r="K80" s="54"/>
    </row>
    <row r="81" spans="3:15" ht="16.5" customHeight="1" thickBot="1">
      <c r="C81" s="115" t="s">
        <v>97</v>
      </c>
      <c r="D81" s="118">
        <f>'Resumen (G)'!E40-D80</f>
        <v>4850.8736368175014</v>
      </c>
      <c r="E81" s="280">
        <f>'Resumen (G)'!F40-E80</f>
        <v>4988.89176714114</v>
      </c>
      <c r="F81" s="133">
        <f>((E81/D81)-1)</f>
        <v>2.8452221322794014E-2</v>
      </c>
      <c r="G81" s="203">
        <f>'Resumen (G)'!H40-G80</f>
        <v>37665.475469667486</v>
      </c>
      <c r="H81" s="280">
        <f>'Resumen (G)'!I40-H80</f>
        <v>39469.249151303287</v>
      </c>
      <c r="I81" s="133">
        <f>((H81/G81)-1)</f>
        <v>4.7889311342648622E-2</v>
      </c>
      <c r="M81" s="53"/>
      <c r="N81" s="53"/>
      <c r="O81" s="53"/>
    </row>
    <row r="82" spans="3:15" ht="14.25" thickTop="1" thickBot="1">
      <c r="C82" s="104" t="s">
        <v>94</v>
      </c>
      <c r="D82" s="198">
        <f>SUM(D80:D81)</f>
        <v>4858.9062327950014</v>
      </c>
      <c r="E82" s="281">
        <f>SUM(E80:E81)</f>
        <v>5052.2019965911404</v>
      </c>
      <c r="F82" s="105"/>
      <c r="G82" s="222">
        <f>SUM(G80:G81)</f>
        <v>37933.137241874989</v>
      </c>
      <c r="H82" s="281">
        <f>SUM(H80:H81)</f>
        <v>39903.155041155791</v>
      </c>
      <c r="I82" s="105"/>
      <c r="N82" s="53"/>
      <c r="O82" s="53"/>
    </row>
    <row r="83" spans="3:15">
      <c r="C83" s="72"/>
      <c r="D83" s="36"/>
      <c r="E83" s="36"/>
      <c r="F83" s="73"/>
    </row>
  </sheetData>
  <mergeCells count="11">
    <mergeCell ref="G27:H27"/>
    <mergeCell ref="I27:I28"/>
    <mergeCell ref="G55:H55"/>
    <mergeCell ref="I55:I56"/>
    <mergeCell ref="G78:H78"/>
    <mergeCell ref="C55:C56"/>
    <mergeCell ref="D78:E78"/>
    <mergeCell ref="D27:E27"/>
    <mergeCell ref="F27:F28"/>
    <mergeCell ref="D55:E55"/>
    <mergeCell ref="F55:F5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R65"/>
  <sheetViews>
    <sheetView view="pageBreakPreview" topLeftCell="A4" zoomScaleNormal="100" zoomScaleSheetLayoutView="100" workbookViewId="0">
      <selection activeCell="C71" sqref="C71"/>
    </sheetView>
  </sheetViews>
  <sheetFormatPr baseColWidth="10" defaultColWidth="11.42578125" defaultRowHeight="12.75"/>
  <cols>
    <col min="1" max="1" width="5.42578125" customWidth="1"/>
    <col min="2" max="2" width="3.85546875" customWidth="1"/>
    <col min="3" max="3" width="27.85546875" customWidth="1"/>
    <col min="4" max="5" width="11.7109375" customWidth="1"/>
    <col min="6" max="6" width="9.7109375" customWidth="1"/>
    <col min="7" max="7" width="13" customWidth="1"/>
    <col min="8" max="8" width="13.140625" customWidth="1"/>
    <col min="9" max="9" width="9.5703125" customWidth="1"/>
    <col min="10" max="10" width="3.7109375" customWidth="1"/>
    <col min="11" max="11" width="9" customWidth="1"/>
    <col min="13" max="13" width="19.140625" customWidth="1"/>
    <col min="14" max="14" width="8.28515625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3:13" ht="15">
      <c r="C2" s="12" t="s">
        <v>92</v>
      </c>
      <c r="D2" s="2"/>
      <c r="E2" s="12"/>
      <c r="F2" s="12"/>
      <c r="G2" s="12"/>
      <c r="H2" s="12"/>
      <c r="I2" s="12"/>
      <c r="J2" s="12"/>
    </row>
    <row r="3" spans="3:13" ht="15">
      <c r="C3" s="13"/>
      <c r="D3" s="2"/>
      <c r="E3" s="13"/>
      <c r="F3" s="13"/>
      <c r="G3" s="13"/>
      <c r="H3" s="13"/>
      <c r="I3" s="13"/>
      <c r="J3" s="13"/>
    </row>
    <row r="4" spans="3:13" ht="15">
      <c r="C4" s="12" t="s">
        <v>127</v>
      </c>
      <c r="D4" s="2"/>
      <c r="E4" s="12"/>
      <c r="F4" s="12"/>
      <c r="G4" s="12"/>
      <c r="H4" s="12"/>
      <c r="I4" s="12"/>
      <c r="J4" s="12"/>
    </row>
    <row r="6" spans="3:13">
      <c r="C6" s="5" t="s">
        <v>132</v>
      </c>
    </row>
    <row r="7" spans="3:13" ht="6" customHeight="1" thickBot="1">
      <c r="C7" s="70"/>
      <c r="D7" s="71"/>
      <c r="E7" s="71"/>
      <c r="F7" s="71"/>
      <c r="G7" s="16"/>
      <c r="H7" s="16"/>
      <c r="I7" s="16"/>
      <c r="J7" s="16"/>
    </row>
    <row r="8" spans="3:13" ht="13.5" customHeight="1">
      <c r="C8" s="177" t="s">
        <v>44</v>
      </c>
      <c r="D8" s="360" t="s">
        <v>129</v>
      </c>
      <c r="E8" s="361"/>
      <c r="F8" s="349" t="s">
        <v>74</v>
      </c>
      <c r="G8" s="351" t="s">
        <v>130</v>
      </c>
      <c r="H8" s="352"/>
      <c r="I8" s="349" t="s">
        <v>74</v>
      </c>
      <c r="J8" s="16"/>
    </row>
    <row r="9" spans="3:13" ht="13.5" customHeight="1">
      <c r="C9" s="178"/>
      <c r="D9" s="88">
        <v>2022</v>
      </c>
      <c r="E9" s="76">
        <v>2023</v>
      </c>
      <c r="F9" s="350"/>
      <c r="G9" s="292">
        <v>2022</v>
      </c>
      <c r="H9" s="76">
        <v>2023</v>
      </c>
      <c r="I9" s="350"/>
      <c r="J9" s="16"/>
    </row>
    <row r="10" spans="3:13">
      <c r="C10" s="166" t="s">
        <v>10</v>
      </c>
      <c r="D10" s="167">
        <f>'Por Región (G)'!O8</f>
        <v>304.13452288013923</v>
      </c>
      <c r="E10" s="168">
        <f>'Por Región (G)'!P8</f>
        <v>314.27346629416519</v>
      </c>
      <c r="F10" s="169">
        <f>+E10/D10-1</f>
        <v>3.3337035592048814E-2</v>
      </c>
      <c r="G10" s="288">
        <f>'Por Región (G)'!Q8</f>
        <v>2638.1692488449689</v>
      </c>
      <c r="H10" s="168">
        <f>'Por Región (G)'!R8</f>
        <v>2567.732401292968</v>
      </c>
      <c r="I10" s="317">
        <f>+H10/G10-1</f>
        <v>-2.6699139027126173E-2</v>
      </c>
      <c r="J10" s="16"/>
      <c r="L10" s="41" t="s">
        <v>9</v>
      </c>
      <c r="M10" s="199">
        <f>E11</f>
        <v>4153.4073658702546</v>
      </c>
    </row>
    <row r="11" spans="3:13">
      <c r="C11" s="170" t="s">
        <v>9</v>
      </c>
      <c r="D11" s="171">
        <f>'Por Región (G)'!O9</f>
        <v>4137.6248511666663</v>
      </c>
      <c r="E11" s="172">
        <f>'Por Región (G)'!P9</f>
        <v>4153.4073658702546</v>
      </c>
      <c r="F11" s="173">
        <f>+E11/D11-1</f>
        <v>3.8143899631544187E-3</v>
      </c>
      <c r="G11" s="289">
        <f>'Por Región (G)'!Q9</f>
        <v>31619.844522879815</v>
      </c>
      <c r="H11" s="172">
        <f>'Por Región (G)'!R9</f>
        <v>33113.046783758924</v>
      </c>
      <c r="I11" s="173">
        <f>+H11/G11-1</f>
        <v>4.7223580109593488E-2</v>
      </c>
      <c r="J11" s="16"/>
      <c r="L11" s="41" t="s">
        <v>12</v>
      </c>
      <c r="M11" s="199">
        <f>E12</f>
        <v>684.71024990634396</v>
      </c>
    </row>
    <row r="12" spans="3:13">
      <c r="C12" s="170" t="s">
        <v>12</v>
      </c>
      <c r="D12" s="171">
        <f>'Por Región (G)'!O10</f>
        <v>526.19837486166671</v>
      </c>
      <c r="E12" s="172">
        <f>'Por Región (G)'!P10</f>
        <v>684.71024990634396</v>
      </c>
      <c r="F12" s="173">
        <f>+E12/D12-1</f>
        <v>0.30123976549024634</v>
      </c>
      <c r="G12" s="289">
        <f>'Por Región (G)'!Q10</f>
        <v>4704.2892119083335</v>
      </c>
      <c r="H12" s="172">
        <f>'Por Región (G)'!R10</f>
        <v>5192.7217164391041</v>
      </c>
      <c r="I12" s="173">
        <f>+H12/G12-1</f>
        <v>0.10382705708109174</v>
      </c>
      <c r="J12" s="16"/>
      <c r="L12" s="41" t="s">
        <v>10</v>
      </c>
      <c r="M12" s="199">
        <f>E10</f>
        <v>314.27346629416519</v>
      </c>
    </row>
    <row r="13" spans="3:13">
      <c r="C13" s="174" t="s">
        <v>11</v>
      </c>
      <c r="D13" s="327">
        <f>'Por Región (G)'!O11</f>
        <v>35.032264733333321</v>
      </c>
      <c r="E13" s="175">
        <f>'Por Región (G)'!P11</f>
        <v>36.194763000000002</v>
      </c>
      <c r="F13" s="176">
        <f>+E13/D13-1</f>
        <v>3.3183645862340239E-2</v>
      </c>
      <c r="G13" s="290">
        <f>'Por Región (G)'!Q11</f>
        <v>275.17841186666669</v>
      </c>
      <c r="H13" s="175">
        <f>'Por Región (G)'!R11</f>
        <v>273.13124499999998</v>
      </c>
      <c r="I13" s="176">
        <f>+H13/G13-1</f>
        <v>-7.4394166780010762E-3</v>
      </c>
      <c r="J13" s="16"/>
      <c r="L13" s="41" t="s">
        <v>11</v>
      </c>
      <c r="M13" s="199">
        <f>E13</f>
        <v>36.194763000000002</v>
      </c>
    </row>
    <row r="14" spans="3:13" ht="13.5" thickBot="1">
      <c r="C14" s="179" t="s">
        <v>108</v>
      </c>
      <c r="D14" s="180">
        <f>SUM(D10:D13)</f>
        <v>5002.9900136418055</v>
      </c>
      <c r="E14" s="181">
        <f>SUM(E10:E13)</f>
        <v>5188.5858450707638</v>
      </c>
      <c r="F14" s="182">
        <f>+E14/D14-1</f>
        <v>3.7096982189228633E-2</v>
      </c>
      <c r="G14" s="291">
        <f>SUM(G10:G13)</f>
        <v>39237.481395499788</v>
      </c>
      <c r="H14" s="181">
        <f>SUM(H10:H13)</f>
        <v>41146.632146490992</v>
      </c>
      <c r="I14" s="182">
        <f>+H14/G14-1</f>
        <v>4.8656302165463794E-2</v>
      </c>
      <c r="J14" s="16"/>
    </row>
    <row r="15" spans="3:13">
      <c r="C15" s="15"/>
      <c r="D15" s="16"/>
      <c r="E15" s="16"/>
      <c r="F15" s="16"/>
      <c r="G15" s="16"/>
      <c r="H15" s="16"/>
      <c r="I15" s="16"/>
      <c r="J15" s="16"/>
    </row>
    <row r="16" spans="3:13" ht="15">
      <c r="C16" s="12" t="s">
        <v>133</v>
      </c>
      <c r="D16" s="16"/>
      <c r="E16" s="16"/>
      <c r="F16" s="16"/>
      <c r="G16" s="16"/>
      <c r="H16" s="16"/>
      <c r="I16" s="16"/>
      <c r="J16" s="16"/>
    </row>
    <row r="17" spans="3:18">
      <c r="D17" s="16"/>
      <c r="E17" s="16"/>
      <c r="F17" s="16"/>
      <c r="G17" s="16"/>
      <c r="H17" s="16"/>
      <c r="I17" s="16"/>
      <c r="J17" s="16"/>
    </row>
    <row r="18" spans="3:18" ht="33" customHeight="1">
      <c r="C18" s="357" t="s">
        <v>93</v>
      </c>
      <c r="D18" s="357"/>
      <c r="E18" s="357"/>
      <c r="F18" s="357"/>
      <c r="G18" s="358" t="s">
        <v>107</v>
      </c>
      <c r="H18" s="359"/>
      <c r="I18" s="359"/>
      <c r="J18" s="359"/>
    </row>
    <row r="19" spans="3:18">
      <c r="C19" s="15"/>
      <c r="D19" s="16"/>
      <c r="E19" s="16"/>
      <c r="F19" s="16"/>
      <c r="G19" s="16"/>
      <c r="H19" s="16"/>
      <c r="I19" s="16"/>
      <c r="J19" s="16"/>
    </row>
    <row r="20" spans="3:18" ht="13.5" thickBot="1">
      <c r="J20" s="16"/>
    </row>
    <row r="21" spans="3:18">
      <c r="J21" s="16"/>
      <c r="Q21" s="6" t="s">
        <v>44</v>
      </c>
      <c r="R21" s="6" t="s">
        <v>43</v>
      </c>
    </row>
    <row r="22" spans="3:18">
      <c r="J22" s="16"/>
      <c r="Q22" s="18" t="s">
        <v>10</v>
      </c>
      <c r="R22" t="s">
        <v>17</v>
      </c>
    </row>
    <row r="23" spans="3:18">
      <c r="J23" s="16"/>
      <c r="Q23" s="18" t="s">
        <v>10</v>
      </c>
      <c r="R23" t="s">
        <v>22</v>
      </c>
    </row>
    <row r="24" spans="3:18">
      <c r="J24" s="16"/>
      <c r="Q24" s="18" t="s">
        <v>10</v>
      </c>
      <c r="R24" t="s">
        <v>28</v>
      </c>
    </row>
    <row r="25" spans="3:18">
      <c r="J25" s="16"/>
      <c r="Q25" s="18" t="s">
        <v>10</v>
      </c>
      <c r="R25" t="s">
        <v>29</v>
      </c>
    </row>
    <row r="26" spans="3:18">
      <c r="J26" s="16"/>
      <c r="Q26" s="18" t="s">
        <v>10</v>
      </c>
      <c r="R26" t="s">
        <v>35</v>
      </c>
    </row>
    <row r="27" spans="3:18">
      <c r="C27" s="15"/>
      <c r="D27" s="16"/>
      <c r="E27" s="16"/>
      <c r="F27" s="16"/>
      <c r="G27" s="16"/>
      <c r="J27" s="16"/>
      <c r="Q27" s="18" t="s">
        <v>10</v>
      </c>
      <c r="R27" t="s">
        <v>37</v>
      </c>
    </row>
    <row r="28" spans="3:18">
      <c r="C28" s="15"/>
      <c r="D28" s="16"/>
      <c r="E28" s="16"/>
      <c r="F28" s="16"/>
      <c r="G28" s="16"/>
      <c r="J28" s="16"/>
      <c r="Q28" s="19" t="s">
        <v>10</v>
      </c>
      <c r="R28" s="20" t="s">
        <v>39</v>
      </c>
    </row>
    <row r="29" spans="3:18">
      <c r="C29" s="15"/>
      <c r="D29" s="16"/>
      <c r="E29" s="16"/>
      <c r="F29" s="16"/>
      <c r="G29" s="16"/>
      <c r="J29" s="16"/>
      <c r="Q29" s="21" t="s">
        <v>9</v>
      </c>
      <c r="R29" t="s">
        <v>18</v>
      </c>
    </row>
    <row r="30" spans="3:18" ht="15.75" customHeight="1">
      <c r="C30" s="15"/>
      <c r="D30" s="16"/>
      <c r="E30" s="16"/>
      <c r="F30" s="16"/>
      <c r="G30" s="16"/>
      <c r="J30" s="16"/>
      <c r="Q30" s="21" t="s">
        <v>9</v>
      </c>
      <c r="R30" t="s">
        <v>24</v>
      </c>
    </row>
    <row r="31" spans="3:18" ht="15" customHeight="1">
      <c r="C31" s="15"/>
      <c r="D31" s="16"/>
      <c r="E31" s="16"/>
      <c r="F31" s="16"/>
      <c r="G31" s="16"/>
      <c r="J31" s="16"/>
      <c r="Q31" s="21" t="s">
        <v>9</v>
      </c>
      <c r="R31" t="s">
        <v>25</v>
      </c>
    </row>
    <row r="32" spans="3:18">
      <c r="C32" s="15"/>
      <c r="D32" s="16"/>
      <c r="E32" s="16"/>
      <c r="F32" s="16"/>
      <c r="G32" s="16"/>
      <c r="J32" s="16"/>
      <c r="Q32" s="21" t="s">
        <v>9</v>
      </c>
      <c r="R32" t="s">
        <v>27</v>
      </c>
    </row>
    <row r="33" spans="3:18">
      <c r="C33" s="15"/>
      <c r="D33" s="16"/>
      <c r="E33" s="16"/>
      <c r="F33" s="16"/>
      <c r="G33" s="16"/>
      <c r="J33" s="16"/>
      <c r="Q33" s="21" t="s">
        <v>9</v>
      </c>
      <c r="R33" t="s">
        <v>30</v>
      </c>
    </row>
    <row r="34" spans="3:18">
      <c r="C34" s="15"/>
      <c r="D34" s="16"/>
      <c r="E34" s="16"/>
      <c r="F34" s="16"/>
      <c r="G34" s="16"/>
      <c r="J34" s="16"/>
      <c r="Q34" s="21" t="s">
        <v>9</v>
      </c>
      <c r="R34" t="s">
        <v>34</v>
      </c>
    </row>
    <row r="35" spans="3:18">
      <c r="C35" s="15"/>
      <c r="D35" s="16"/>
      <c r="E35" s="16"/>
      <c r="F35" s="16"/>
      <c r="G35" s="16"/>
      <c r="J35" s="16"/>
      <c r="Q35" s="22" t="s">
        <v>9</v>
      </c>
      <c r="R35" s="20" t="s">
        <v>40</v>
      </c>
    </row>
    <row r="36" spans="3:18">
      <c r="C36" s="15"/>
      <c r="D36" s="16"/>
      <c r="E36" s="16"/>
      <c r="F36" s="16"/>
      <c r="G36" s="16"/>
      <c r="J36" s="16"/>
      <c r="Q36" s="23" t="s">
        <v>12</v>
      </c>
      <c r="R36" t="s">
        <v>19</v>
      </c>
    </row>
    <row r="37" spans="3:18">
      <c r="C37" s="15"/>
      <c r="D37" s="16"/>
      <c r="E37" s="16"/>
      <c r="F37" s="16"/>
      <c r="G37" s="16"/>
      <c r="J37" s="16"/>
      <c r="Q37" s="23" t="s">
        <v>12</v>
      </c>
      <c r="R37" t="s">
        <v>20</v>
      </c>
    </row>
    <row r="38" spans="3:18">
      <c r="C38" s="15"/>
      <c r="D38" s="16"/>
      <c r="E38" s="16"/>
      <c r="F38" s="16"/>
      <c r="G38" s="16"/>
      <c r="J38" s="16"/>
      <c r="Q38" s="23" t="s">
        <v>12</v>
      </c>
      <c r="R38" t="s">
        <v>21</v>
      </c>
    </row>
    <row r="39" spans="3:18">
      <c r="C39" s="15"/>
      <c r="D39" s="16"/>
      <c r="E39" s="16"/>
      <c r="F39" s="16"/>
      <c r="G39" s="16"/>
      <c r="J39" s="16"/>
      <c r="Q39" s="23" t="s">
        <v>12</v>
      </c>
      <c r="R39" t="s">
        <v>23</v>
      </c>
    </row>
    <row r="40" spans="3:18">
      <c r="C40" s="15"/>
      <c r="Q40" s="23" t="s">
        <v>12</v>
      </c>
      <c r="R40" t="s">
        <v>26</v>
      </c>
    </row>
    <row r="41" spans="3:18">
      <c r="C41" s="15"/>
      <c r="Q41" s="23" t="s">
        <v>12</v>
      </c>
      <c r="R41" t="s">
        <v>32</v>
      </c>
    </row>
    <row r="42" spans="3:18" ht="12.75" customHeight="1">
      <c r="C42" s="15"/>
      <c r="Q42" s="23" t="s">
        <v>12</v>
      </c>
      <c r="R42" t="s">
        <v>33</v>
      </c>
    </row>
    <row r="43" spans="3:18" ht="16.5" customHeight="1">
      <c r="C43" s="15"/>
      <c r="Q43" s="24" t="s">
        <v>12</v>
      </c>
      <c r="R43" t="s">
        <v>36</v>
      </c>
    </row>
    <row r="44" spans="3:18">
      <c r="C44" s="15"/>
      <c r="Q44" s="284" t="s">
        <v>12</v>
      </c>
      <c r="R44" s="20" t="s">
        <v>38</v>
      </c>
    </row>
    <row r="45" spans="3:18" ht="13.5" thickBot="1">
      <c r="C45" s="15"/>
      <c r="Q45" s="25" t="s">
        <v>11</v>
      </c>
      <c r="R45" s="26" t="s">
        <v>31</v>
      </c>
    </row>
    <row r="46" spans="3:18">
      <c r="C46" s="15"/>
    </row>
    <row r="47" spans="3:18">
      <c r="C47" s="15"/>
    </row>
    <row r="48" spans="3:18">
      <c r="C48" s="15"/>
    </row>
    <row r="49" spans="3:15">
      <c r="C49" s="15"/>
    </row>
    <row r="50" spans="3:15">
      <c r="C50" s="15"/>
    </row>
    <row r="51" spans="3:15">
      <c r="C51" s="15"/>
    </row>
    <row r="52" spans="3:15">
      <c r="C52" s="15"/>
      <c r="I52" s="27"/>
    </row>
    <row r="53" spans="3:15" ht="13.5" thickBot="1">
      <c r="C53" s="183" t="s">
        <v>98</v>
      </c>
      <c r="D53" s="69"/>
      <c r="E53" s="69"/>
      <c r="F53" s="69"/>
      <c r="G53" s="69"/>
      <c r="H53" s="69"/>
      <c r="I53" s="27"/>
    </row>
    <row r="54" spans="3:15" ht="15">
      <c r="C54" s="353" t="s">
        <v>13</v>
      </c>
      <c r="D54" s="355" t="s">
        <v>134</v>
      </c>
      <c r="E54" s="356"/>
      <c r="F54" s="356"/>
      <c r="G54" s="356"/>
      <c r="H54" s="356"/>
    </row>
    <row r="55" spans="3:15">
      <c r="C55" s="354"/>
      <c r="D55" s="91" t="s">
        <v>14</v>
      </c>
      <c r="E55" s="92" t="s">
        <v>15</v>
      </c>
      <c r="F55" s="92" t="s">
        <v>5</v>
      </c>
      <c r="G55" s="92" t="s">
        <v>16</v>
      </c>
      <c r="H55" s="92" t="s">
        <v>71</v>
      </c>
    </row>
    <row r="56" spans="3:15">
      <c r="C56" s="184" t="s">
        <v>10</v>
      </c>
      <c r="D56" s="285">
        <f>'Resumen (G)'!D14-'PorZona (G)'!D58</f>
        <v>78.29214939750004</v>
      </c>
      <c r="E56" s="187">
        <v>93.457502581827697</v>
      </c>
      <c r="F56" s="187">
        <v>0</v>
      </c>
      <c r="G56" s="187">
        <v>142.52381431483747</v>
      </c>
      <c r="H56" s="187">
        <f>SUM(D56:G56)</f>
        <v>314.27346629416519</v>
      </c>
      <c r="I56" s="283"/>
      <c r="K56" s="264"/>
      <c r="L56" s="264"/>
      <c r="M56" s="264"/>
      <c r="N56" s="264"/>
      <c r="O56" s="264"/>
    </row>
    <row r="57" spans="3:15">
      <c r="C57" s="110" t="s">
        <v>9</v>
      </c>
      <c r="D57" s="286">
        <v>0</v>
      </c>
      <c r="E57" s="188">
        <v>1416.7052241129702</v>
      </c>
      <c r="F57" s="315">
        <v>6.4599999999999996E-3</v>
      </c>
      <c r="G57" s="188">
        <v>2736.6956817572845</v>
      </c>
      <c r="H57" s="188">
        <f>SUM(D57:G57)</f>
        <v>4153.4073658702546</v>
      </c>
      <c r="I57" s="283"/>
      <c r="K57" s="264"/>
      <c r="L57" s="264"/>
      <c r="M57" s="264"/>
      <c r="N57" s="264"/>
      <c r="O57" s="264"/>
    </row>
    <row r="58" spans="3:15">
      <c r="C58" s="110" t="s">
        <v>12</v>
      </c>
      <c r="D58" s="286">
        <v>101.75297788749999</v>
      </c>
      <c r="E58" s="188">
        <v>234.54814043940181</v>
      </c>
      <c r="F58" s="188">
        <f>'Resumen (G)'!D15+0.0181946666666667</f>
        <v>87.870209463333367</v>
      </c>
      <c r="G58" s="188">
        <v>260.53892211610878</v>
      </c>
      <c r="H58" s="188">
        <f>SUM(D58:G58)</f>
        <v>684.71024990634396</v>
      </c>
      <c r="I58" s="283"/>
      <c r="K58" s="264"/>
      <c r="L58" s="264"/>
      <c r="M58" s="264"/>
      <c r="N58" s="264"/>
      <c r="O58" s="264"/>
    </row>
    <row r="59" spans="3:15">
      <c r="C59" s="185" t="s">
        <v>11</v>
      </c>
      <c r="D59" s="287">
        <v>0</v>
      </c>
      <c r="E59" s="189">
        <v>0</v>
      </c>
      <c r="F59" s="189">
        <v>0</v>
      </c>
      <c r="G59" s="189">
        <f>E13</f>
        <v>36.194763000000002</v>
      </c>
      <c r="H59" s="189">
        <f>SUM(D59:G59)</f>
        <v>36.194763000000002</v>
      </c>
      <c r="I59" s="283"/>
      <c r="L59" s="264"/>
    </row>
    <row r="60" spans="3:15" ht="13.5" thickBot="1">
      <c r="C60" s="93" t="s">
        <v>108</v>
      </c>
      <c r="D60" s="190">
        <f>SUM(D56:D59)</f>
        <v>180.04512728500004</v>
      </c>
      <c r="E60" s="191">
        <f>SUM(E56:E59)</f>
        <v>1744.7108671341996</v>
      </c>
      <c r="F60" s="191">
        <f>SUM(F56:F59)</f>
        <v>87.876669463333371</v>
      </c>
      <c r="G60" s="191">
        <f>SUM(G56:G59)</f>
        <v>3175.9531811882312</v>
      </c>
      <c r="H60" s="191">
        <f>SUM(H56:H59)</f>
        <v>5188.5858450707638</v>
      </c>
    </row>
    <row r="61" spans="3:15" ht="6.75" customHeight="1"/>
    <row r="64" spans="3:15">
      <c r="E64" s="264"/>
      <c r="H64" s="100"/>
    </row>
    <row r="65" spans="5:5">
      <c r="E65" s="100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S93"/>
  <sheetViews>
    <sheetView view="pageBreakPreview" zoomScale="90" zoomScaleNormal="100" zoomScaleSheetLayoutView="90" workbookViewId="0">
      <selection activeCell="N38" sqref="N38"/>
    </sheetView>
  </sheetViews>
  <sheetFormatPr baseColWidth="10" defaultColWidth="11.42578125" defaultRowHeight="12.75"/>
  <cols>
    <col min="1" max="2" width="5.42578125" customWidth="1"/>
    <col min="3" max="3" width="24.28515625" customWidth="1"/>
    <col min="4" max="4" width="11.7109375" bestFit="1" customWidth="1"/>
    <col min="5" max="5" width="11.7109375" customWidth="1"/>
    <col min="6" max="6" width="9.7109375" customWidth="1"/>
    <col min="7" max="8" width="11.7109375" customWidth="1"/>
    <col min="9" max="9" width="9.7109375" customWidth="1"/>
    <col min="10" max="10" width="12.28515625" customWidth="1"/>
    <col min="11" max="11" width="9.7109375" customWidth="1"/>
    <col min="12" max="12" width="10.28515625" customWidth="1"/>
    <col min="14" max="14" width="14.5703125" customWidth="1"/>
    <col min="15" max="15" width="14.5703125" bestFit="1" customWidth="1"/>
    <col min="16" max="16" width="13.5703125" customWidth="1"/>
    <col min="17" max="17" width="12.7109375" bestFit="1" customWidth="1"/>
    <col min="18" max="18" width="14.28515625" bestFit="1" customWidth="1"/>
    <col min="19" max="19" width="14.42578125" customWidth="1"/>
    <col min="20" max="20" width="13.28515625" customWidth="1"/>
  </cols>
  <sheetData>
    <row r="1" spans="3:19" ht="15">
      <c r="C1" s="13"/>
      <c r="D1" s="2"/>
      <c r="E1" s="13"/>
      <c r="F1" s="13"/>
      <c r="G1" s="13"/>
      <c r="H1" s="13"/>
      <c r="I1" s="13"/>
      <c r="J1" s="13"/>
      <c r="K1" s="33"/>
      <c r="L1" s="33"/>
      <c r="M1" s="34"/>
      <c r="N1" s="34"/>
      <c r="O1" s="34"/>
      <c r="P1" s="34"/>
      <c r="Q1" s="34"/>
      <c r="R1" s="34"/>
    </row>
    <row r="2" spans="3:19" ht="15">
      <c r="C2" s="12" t="s">
        <v>101</v>
      </c>
      <c r="D2" s="2"/>
      <c r="E2" s="12"/>
      <c r="F2" s="12"/>
      <c r="G2" s="12"/>
      <c r="H2" s="12"/>
      <c r="I2" s="12"/>
      <c r="J2" s="12"/>
      <c r="K2" s="1"/>
      <c r="L2" s="1"/>
      <c r="M2" s="9"/>
      <c r="N2" s="9"/>
      <c r="O2" s="9"/>
      <c r="P2" s="9"/>
      <c r="Q2" s="9"/>
      <c r="R2" s="9"/>
    </row>
    <row r="3" spans="3:19" ht="15">
      <c r="C3" s="12"/>
      <c r="D3" s="2"/>
      <c r="E3" s="12"/>
      <c r="F3" s="12"/>
      <c r="G3" s="12"/>
      <c r="H3" s="12"/>
      <c r="I3" s="12"/>
      <c r="J3" s="12"/>
      <c r="K3" s="1"/>
      <c r="L3" s="1"/>
      <c r="M3" s="9"/>
      <c r="N3" s="9"/>
      <c r="O3" s="9"/>
      <c r="P3" s="9"/>
      <c r="Q3" s="9"/>
      <c r="R3" s="9"/>
    </row>
    <row r="4" spans="3:19" ht="15">
      <c r="C4" s="5" t="s">
        <v>99</v>
      </c>
      <c r="D4" s="2"/>
      <c r="E4" s="12"/>
      <c r="F4" s="12"/>
      <c r="G4" s="12"/>
      <c r="H4" s="12"/>
      <c r="I4" s="12"/>
      <c r="J4" s="12"/>
      <c r="K4" s="1"/>
      <c r="L4" s="1"/>
      <c r="M4" s="9"/>
      <c r="N4" s="9"/>
      <c r="O4" s="9"/>
      <c r="P4" s="9"/>
      <c r="Q4" s="9"/>
      <c r="R4" s="9"/>
    </row>
    <row r="5" spans="3:19" ht="13.5" thickBot="1"/>
    <row r="6" spans="3:19" ht="12.75" customHeight="1">
      <c r="C6" s="86" t="s">
        <v>60</v>
      </c>
      <c r="D6" s="360" t="s">
        <v>129</v>
      </c>
      <c r="E6" s="361"/>
      <c r="F6" s="349" t="s">
        <v>74</v>
      </c>
      <c r="G6" s="351" t="s">
        <v>130</v>
      </c>
      <c r="H6" s="352"/>
      <c r="I6" s="349" t="s">
        <v>74</v>
      </c>
      <c r="O6" s="36"/>
      <c r="P6" s="7"/>
      <c r="Q6" s="362" t="s">
        <v>116</v>
      </c>
      <c r="R6" s="362"/>
    </row>
    <row r="7" spans="3:19" ht="12.75" customHeight="1">
      <c r="C7" s="87"/>
      <c r="D7" s="88">
        <v>2022</v>
      </c>
      <c r="E7" s="76">
        <v>2023</v>
      </c>
      <c r="F7" s="350"/>
      <c r="G7" s="205">
        <v>2022</v>
      </c>
      <c r="H7" s="76">
        <v>2023</v>
      </c>
      <c r="I7" s="350"/>
      <c r="N7" s="41"/>
      <c r="O7" s="54">
        <v>2021</v>
      </c>
      <c r="P7" s="199">
        <v>2022</v>
      </c>
      <c r="Q7" s="41">
        <v>2020</v>
      </c>
      <c r="R7" s="41">
        <v>2021</v>
      </c>
    </row>
    <row r="8" spans="3:19" ht="20.100000000000001" customHeight="1">
      <c r="C8" s="95" t="s">
        <v>17</v>
      </c>
      <c r="D8" s="303">
        <v>4.399311</v>
      </c>
      <c r="E8" s="296">
        <v>4.3350893333333334</v>
      </c>
      <c r="F8" s="193">
        <f>+E8/D8-1</f>
        <v>-1.4598119266100218E-2</v>
      </c>
      <c r="G8" s="302">
        <v>33.525289000000001</v>
      </c>
      <c r="H8" s="296">
        <v>27.475209343333333</v>
      </c>
      <c r="I8" s="193">
        <f>+H8/G8-1</f>
        <v>-0.18046316190344158</v>
      </c>
      <c r="J8" s="16"/>
      <c r="K8" s="35"/>
      <c r="L8" s="35"/>
      <c r="N8" s="41" t="s">
        <v>10</v>
      </c>
      <c r="O8" s="54">
        <f>SUM(D8,D13,D20,D21,D27,D29,D31)</f>
        <v>304.13452288013923</v>
      </c>
      <c r="P8" s="54">
        <f>SUM(E8,E13,E20,E21,E27,E29,E31)</f>
        <v>314.27346629416519</v>
      </c>
      <c r="Q8" s="54">
        <f>SUM(G8,G13,G20,G21,G27,G29,G31)</f>
        <v>2638.1692488449689</v>
      </c>
      <c r="R8" s="54">
        <f>SUM(H8,H13,H20,H21,H27,H29,H31)</f>
        <v>2567.732401292968</v>
      </c>
    </row>
    <row r="9" spans="3:19" ht="20.100000000000001" customHeight="1">
      <c r="C9" s="96" t="s">
        <v>18</v>
      </c>
      <c r="D9" s="192">
        <v>93.488399700000002</v>
      </c>
      <c r="E9" s="246">
        <v>89.234732557508607</v>
      </c>
      <c r="F9" s="194">
        <f t="shared" ref="F9:F32" si="0">+E9/D9-1</f>
        <v>-4.5499411222581831E-2</v>
      </c>
      <c r="G9" s="206">
        <v>1528.0412315999997</v>
      </c>
      <c r="H9" s="246">
        <v>1275.9751069794506</v>
      </c>
      <c r="I9" s="194">
        <f t="shared" ref="I9:I32" si="1">+H9/G9-1</f>
        <v>-0.16496028995016887</v>
      </c>
      <c r="J9" s="16"/>
      <c r="K9" s="35"/>
      <c r="L9" s="35"/>
      <c r="N9" s="41" t="s">
        <v>9</v>
      </c>
      <c r="O9" s="54">
        <f>SUM(D9,D14,D16,D17,D19,D22,D26,D32)</f>
        <v>4137.6248511666663</v>
      </c>
      <c r="P9" s="54">
        <f>SUM(E9,E14,E16,E17,E19,E22,E26,E32)</f>
        <v>4153.4073658702546</v>
      </c>
      <c r="Q9" s="54">
        <f>SUM(G9,G14,G16,G17,G19,G22,G26,G32)</f>
        <v>31619.844522879815</v>
      </c>
      <c r="R9" s="54">
        <f>SUM(H9,H14,H16,H17,H19,H22,H26,H32)</f>
        <v>33113.046783758924</v>
      </c>
    </row>
    <row r="10" spans="3:19" ht="20.100000000000001" customHeight="1">
      <c r="C10" s="97" t="s">
        <v>19</v>
      </c>
      <c r="D10" s="294">
        <v>2.878431</v>
      </c>
      <c r="E10" s="269">
        <v>2.5786660000000001</v>
      </c>
      <c r="F10" s="194">
        <f t="shared" si="0"/>
        <v>-0.10414180503197745</v>
      </c>
      <c r="G10" s="293">
        <v>32.952542999999999</v>
      </c>
      <c r="H10" s="269">
        <v>27.631351000000002</v>
      </c>
      <c r="I10" s="194">
        <f t="shared" si="1"/>
        <v>-0.16148046601441346</v>
      </c>
      <c r="J10" s="16"/>
      <c r="K10" s="35"/>
      <c r="L10" s="35"/>
      <c r="N10" s="41" t="s">
        <v>12</v>
      </c>
      <c r="O10" s="54">
        <f>SUM(D10,D11,D12,D15,D18,D24,D25,D28,D30)</f>
        <v>526.19837486166671</v>
      </c>
      <c r="P10" s="54">
        <f>SUM(E10,E11,E12,E15,E18,E24,E25,E28,E30)</f>
        <v>684.71024990634396</v>
      </c>
      <c r="Q10" s="54">
        <f>SUM(G10,G11,G12,G15,G18,G24,G25,G28,G30)</f>
        <v>4704.2892119083335</v>
      </c>
      <c r="R10" s="54">
        <f>SUM(H10,H11,H12,H15,H18,H24,H25,H28,H30)</f>
        <v>5192.7217164391041</v>
      </c>
    </row>
    <row r="11" spans="3:19" ht="20.100000000000001" customHeight="1">
      <c r="C11" s="96" t="s">
        <v>20</v>
      </c>
      <c r="D11" s="192">
        <v>102.60910260000001</v>
      </c>
      <c r="E11" s="246">
        <v>97.353956451848376</v>
      </c>
      <c r="F11" s="318">
        <f t="shared" si="0"/>
        <v>-5.1215204255685931E-2</v>
      </c>
      <c r="G11" s="206">
        <v>758.42985929999998</v>
      </c>
      <c r="H11" s="246">
        <v>883.99333895210759</v>
      </c>
      <c r="I11" s="194">
        <f t="shared" si="1"/>
        <v>0.1655571416557855</v>
      </c>
      <c r="J11" s="16"/>
      <c r="K11" s="35"/>
      <c r="L11" s="35"/>
      <c r="N11" s="274" t="s">
        <v>11</v>
      </c>
      <c r="O11" s="54">
        <f>D23</f>
        <v>35.032264733333321</v>
      </c>
      <c r="P11" s="54">
        <f>E23</f>
        <v>36.194763000000002</v>
      </c>
      <c r="Q11" s="54">
        <f>G23</f>
        <v>275.17841186666669</v>
      </c>
      <c r="R11" s="54">
        <f>H23</f>
        <v>273.13124499999998</v>
      </c>
    </row>
    <row r="12" spans="3:19" ht="20.100000000000001" customHeight="1">
      <c r="C12" s="96" t="s">
        <v>21</v>
      </c>
      <c r="D12" s="294">
        <v>0.97200500000000012</v>
      </c>
      <c r="E12" s="269">
        <v>0.91318299999999997</v>
      </c>
      <c r="F12" s="194">
        <f t="shared" si="0"/>
        <v>-6.0516149608284109E-2</v>
      </c>
      <c r="G12" s="293">
        <v>7.4811999999999994</v>
      </c>
      <c r="H12" s="269">
        <v>8.0151289999999999</v>
      </c>
      <c r="I12" s="194">
        <f t="shared" si="1"/>
        <v>7.1369432711329894E-2</v>
      </c>
      <c r="J12" s="16"/>
      <c r="K12" s="35"/>
      <c r="L12" s="35"/>
      <c r="O12" s="36"/>
      <c r="P12" s="7"/>
      <c r="Q12" s="36"/>
      <c r="R12" s="36"/>
      <c r="S12" s="36"/>
    </row>
    <row r="13" spans="3:19" ht="20.100000000000001" customHeight="1">
      <c r="C13" s="96" t="s">
        <v>22</v>
      </c>
      <c r="D13" s="192">
        <v>82.142916199999988</v>
      </c>
      <c r="E13" s="246">
        <v>64.223765018734554</v>
      </c>
      <c r="F13" s="194">
        <f t="shared" si="0"/>
        <v>-0.21814603145615419</v>
      </c>
      <c r="G13" s="206">
        <v>1017.8879786</v>
      </c>
      <c r="H13" s="246">
        <v>959.34179054873459</v>
      </c>
      <c r="I13" s="194">
        <f t="shared" si="1"/>
        <v>-5.7517319471431128E-2</v>
      </c>
      <c r="J13" s="16"/>
      <c r="K13" s="35"/>
      <c r="L13" s="35"/>
      <c r="O13" s="36"/>
      <c r="P13" s="7"/>
      <c r="Q13" s="36"/>
      <c r="R13" s="36"/>
      <c r="S13" s="36"/>
    </row>
    <row r="14" spans="3:19" ht="20.100000000000001" customHeight="1">
      <c r="C14" s="96" t="s">
        <v>59</v>
      </c>
      <c r="D14" s="192">
        <v>333.55184066666664</v>
      </c>
      <c r="E14" s="246">
        <v>371.94943416129667</v>
      </c>
      <c r="F14" s="194">
        <f t="shared" si="0"/>
        <v>0.1151173185490002</v>
      </c>
      <c r="G14" s="206">
        <v>2136.5480053333331</v>
      </c>
      <c r="H14" s="246">
        <v>2138.9309396539816</v>
      </c>
      <c r="I14" s="194">
        <f t="shared" si="1"/>
        <v>1.1153198124731478E-3</v>
      </c>
      <c r="K14" s="35"/>
      <c r="L14" s="35"/>
      <c r="O14" s="36"/>
      <c r="P14" s="7"/>
      <c r="Q14" s="36"/>
      <c r="R14" s="36"/>
      <c r="S14" s="36"/>
    </row>
    <row r="15" spans="3:19" ht="20.100000000000001" customHeight="1">
      <c r="C15" s="96" t="s">
        <v>23</v>
      </c>
      <c r="D15" s="192">
        <v>119.25523006666668</v>
      </c>
      <c r="E15" s="246">
        <v>116.47864025812494</v>
      </c>
      <c r="F15" s="194">
        <f t="shared" si="0"/>
        <v>-2.3282750844466626E-2</v>
      </c>
      <c r="G15" s="206">
        <v>1385.4175265333333</v>
      </c>
      <c r="H15" s="246">
        <v>1347.0793366631251</v>
      </c>
      <c r="I15" s="194">
        <f t="shared" si="1"/>
        <v>-2.7672661227363116E-2</v>
      </c>
      <c r="K15" s="35"/>
      <c r="L15" s="35"/>
      <c r="O15" s="36"/>
      <c r="P15" s="7"/>
      <c r="Q15" s="36"/>
      <c r="R15" s="36"/>
      <c r="S15" s="36"/>
    </row>
    <row r="16" spans="3:19" ht="20.100000000000001" customHeight="1">
      <c r="C16" s="96" t="s">
        <v>24</v>
      </c>
      <c r="D16" s="192">
        <v>760.02203699999984</v>
      </c>
      <c r="E16" s="246">
        <v>671.59762506635877</v>
      </c>
      <c r="F16" s="194">
        <f t="shared" si="0"/>
        <v>-0.11634453690668589</v>
      </c>
      <c r="G16" s="206">
        <v>6906.389099147812</v>
      </c>
      <c r="H16" s="246">
        <v>6012.9553814888586</v>
      </c>
      <c r="I16" s="194">
        <f t="shared" si="1"/>
        <v>-0.12936336265345882</v>
      </c>
      <c r="K16" s="35"/>
      <c r="L16" s="35"/>
      <c r="O16" s="36"/>
      <c r="P16" s="7"/>
      <c r="Q16" s="36"/>
      <c r="R16" s="36"/>
      <c r="S16" s="36"/>
    </row>
    <row r="17" spans="3:19" ht="20.100000000000001" customHeight="1">
      <c r="C17" s="96" t="s">
        <v>25</v>
      </c>
      <c r="D17" s="192">
        <v>73.292837133333336</v>
      </c>
      <c r="E17" s="246">
        <v>18.515929453218391</v>
      </c>
      <c r="F17" s="194">
        <f t="shared" si="0"/>
        <v>-0.74737054564371053</v>
      </c>
      <c r="G17" s="206">
        <v>1648.3624610666668</v>
      </c>
      <c r="H17" s="246">
        <v>1561.1168508051182</v>
      </c>
      <c r="I17" s="194">
        <f t="shared" si="1"/>
        <v>-5.2928656361836413E-2</v>
      </c>
      <c r="K17" s="35"/>
      <c r="L17" s="35"/>
      <c r="O17" s="36"/>
      <c r="P17" s="7"/>
      <c r="Q17" s="36"/>
      <c r="R17" s="36"/>
      <c r="S17" s="36"/>
    </row>
    <row r="18" spans="3:19" ht="20.100000000000001" customHeight="1">
      <c r="C18" s="96" t="s">
        <v>26</v>
      </c>
      <c r="D18" s="192">
        <v>160.9140500666667</v>
      </c>
      <c r="E18" s="246">
        <v>151.50590775826197</v>
      </c>
      <c r="F18" s="194">
        <f t="shared" si="0"/>
        <v>-5.8466879085492751E-2</v>
      </c>
      <c r="G18" s="206">
        <v>1193.2088165333334</v>
      </c>
      <c r="H18" s="246">
        <v>1333.412691810762</v>
      </c>
      <c r="I18" s="194">
        <f t="shared" si="1"/>
        <v>0.11750154150282532</v>
      </c>
      <c r="K18" s="35"/>
      <c r="L18" s="35"/>
      <c r="O18" s="36"/>
      <c r="P18" s="7"/>
      <c r="Q18" s="36"/>
      <c r="R18" s="36"/>
      <c r="S18" s="36"/>
    </row>
    <row r="19" spans="3:19" ht="20.100000000000001" customHeight="1">
      <c r="C19" s="96" t="s">
        <v>27</v>
      </c>
      <c r="D19" s="192">
        <v>212.28454346666666</v>
      </c>
      <c r="E19" s="246">
        <v>157.61988998138747</v>
      </c>
      <c r="F19" s="194">
        <f t="shared" si="0"/>
        <v>-0.25750651739683883</v>
      </c>
      <c r="G19" s="206">
        <v>2316.4359727333331</v>
      </c>
      <c r="H19" s="246">
        <v>2150.4239725412285</v>
      </c>
      <c r="I19" s="194">
        <f t="shared" si="1"/>
        <v>-7.1666992805423768E-2</v>
      </c>
      <c r="K19" s="35"/>
      <c r="L19" s="35"/>
      <c r="P19" s="7"/>
      <c r="Q19" s="36"/>
      <c r="R19" s="36"/>
      <c r="S19" s="36"/>
    </row>
    <row r="20" spans="3:19" ht="20.100000000000001" customHeight="1">
      <c r="C20" s="96" t="s">
        <v>28</v>
      </c>
      <c r="D20" s="192">
        <v>54.079528465133954</v>
      </c>
      <c r="E20" s="246">
        <v>73.458628080549531</v>
      </c>
      <c r="F20" s="194">
        <f t="shared" si="0"/>
        <v>0.35834446352300642</v>
      </c>
      <c r="G20" s="206">
        <v>451.44442952492602</v>
      </c>
      <c r="H20" s="246">
        <v>397.19432996685202</v>
      </c>
      <c r="I20" s="194">
        <f t="shared" si="1"/>
        <v>-0.120170049755988</v>
      </c>
      <c r="K20" s="35"/>
      <c r="L20" s="35"/>
      <c r="O20" s="36"/>
      <c r="P20" s="7"/>
      <c r="Q20" s="36"/>
      <c r="R20" s="36"/>
      <c r="S20" s="36"/>
    </row>
    <row r="21" spans="3:19" ht="20.100000000000001" customHeight="1">
      <c r="C21" s="96" t="s">
        <v>29</v>
      </c>
      <c r="D21" s="192">
        <v>7.1071572666666665</v>
      </c>
      <c r="E21" s="246">
        <v>11.3711014125</v>
      </c>
      <c r="F21" s="194">
        <f t="shared" si="0"/>
        <v>0.599950723734747</v>
      </c>
      <c r="G21" s="206">
        <v>47.036862133333337</v>
      </c>
      <c r="H21" s="246">
        <v>57.733024379999996</v>
      </c>
      <c r="I21" s="194">
        <f t="shared" si="1"/>
        <v>0.22739957049742632</v>
      </c>
      <c r="J21" s="16"/>
      <c r="K21" s="35"/>
      <c r="L21" s="35"/>
      <c r="O21" s="36"/>
      <c r="P21" s="7"/>
      <c r="Q21" s="36"/>
      <c r="R21" s="36"/>
      <c r="S21" s="36"/>
    </row>
    <row r="22" spans="3:19" ht="20.100000000000001" customHeight="1">
      <c r="C22" s="96" t="s">
        <v>30</v>
      </c>
      <c r="D22" s="192">
        <v>2561.3717118666664</v>
      </c>
      <c r="E22" s="246">
        <v>2743.6662186342533</v>
      </c>
      <c r="F22" s="194">
        <f t="shared" si="0"/>
        <v>7.1170656692673084E-2</v>
      </c>
      <c r="G22" s="206">
        <v>16280.22082768333</v>
      </c>
      <c r="H22" s="246">
        <v>19145.341518500467</v>
      </c>
      <c r="I22" s="194">
        <f t="shared" si="1"/>
        <v>0.1759878272624662</v>
      </c>
      <c r="J22" s="16"/>
      <c r="K22" s="35"/>
      <c r="L22" s="35"/>
      <c r="O22" s="36"/>
      <c r="P22" s="7"/>
      <c r="Q22" s="36"/>
      <c r="R22" s="36"/>
      <c r="S22" s="36"/>
    </row>
    <row r="23" spans="3:19" ht="20.100000000000001" customHeight="1">
      <c r="C23" s="96" t="s">
        <v>31</v>
      </c>
      <c r="D23" s="192">
        <v>35.032264733333321</v>
      </c>
      <c r="E23" s="246">
        <v>36.194763000000002</v>
      </c>
      <c r="F23" s="194">
        <f t="shared" si="0"/>
        <v>3.3183645862340239E-2</v>
      </c>
      <c r="G23" s="206">
        <v>275.17841186666669</v>
      </c>
      <c r="H23" s="246">
        <v>273.13124499999998</v>
      </c>
      <c r="I23" s="194">
        <f t="shared" si="1"/>
        <v>-7.4394166780010762E-3</v>
      </c>
      <c r="J23" s="16"/>
      <c r="K23" s="35"/>
      <c r="L23" s="35"/>
      <c r="O23" s="36"/>
      <c r="P23" s="36"/>
      <c r="Q23" s="36"/>
      <c r="R23" s="36"/>
      <c r="S23" s="36"/>
    </row>
    <row r="24" spans="3:19" ht="20.100000000000001" customHeight="1">
      <c r="C24" s="96" t="s">
        <v>32</v>
      </c>
      <c r="D24" s="322">
        <v>0.23126500000000003</v>
      </c>
      <c r="E24" s="319">
        <v>0.15840181250000004</v>
      </c>
      <c r="F24" s="194">
        <f t="shared" si="0"/>
        <v>-0.31506361749508127</v>
      </c>
      <c r="G24" s="293">
        <v>1.0767230000000001</v>
      </c>
      <c r="H24" s="269">
        <v>1.3249704624999998</v>
      </c>
      <c r="I24" s="194">
        <f t="shared" si="1"/>
        <v>0.23055833533787218</v>
      </c>
      <c r="J24" s="16"/>
      <c r="K24" s="35"/>
      <c r="L24" s="35"/>
      <c r="O24" s="36"/>
      <c r="P24" s="7"/>
      <c r="Q24" s="36"/>
      <c r="R24" s="36"/>
      <c r="S24" s="36"/>
    </row>
    <row r="25" spans="3:19" ht="20.100000000000001" customHeight="1">
      <c r="C25" s="96" t="s">
        <v>33</v>
      </c>
      <c r="D25" s="192">
        <v>58.72665933333333</v>
      </c>
      <c r="E25" s="246">
        <v>259.31685209250003</v>
      </c>
      <c r="F25" s="194">
        <f t="shared" si="0"/>
        <v>3.4156581531500709</v>
      </c>
      <c r="G25" s="206">
        <v>457.28536766666662</v>
      </c>
      <c r="H25" s="246">
        <v>808.0518631299999</v>
      </c>
      <c r="I25" s="194">
        <f t="shared" si="1"/>
        <v>0.76706258337795941</v>
      </c>
      <c r="J25" s="16"/>
      <c r="K25" s="35"/>
      <c r="L25" s="35"/>
      <c r="P25" s="7"/>
      <c r="Q25" s="36"/>
      <c r="R25" s="36"/>
      <c r="S25" s="36"/>
    </row>
    <row r="26" spans="3:19" ht="20.100000000000001" customHeight="1">
      <c r="C26" s="96" t="s">
        <v>34</v>
      </c>
      <c r="D26" s="192">
        <v>69.406698999999989</v>
      </c>
      <c r="E26" s="246">
        <v>61.548846393731822</v>
      </c>
      <c r="F26" s="194">
        <f t="shared" si="0"/>
        <v>-0.11321461356731821</v>
      </c>
      <c r="G26" s="206">
        <v>639.66468164867558</v>
      </c>
      <c r="H26" s="246">
        <v>582.11125665482109</v>
      </c>
      <c r="I26" s="194">
        <f t="shared" si="1"/>
        <v>-8.9974367266168143E-2</v>
      </c>
      <c r="J26" s="16"/>
      <c r="K26" s="35"/>
      <c r="L26" s="35"/>
      <c r="O26" s="36"/>
      <c r="P26" s="7"/>
      <c r="Q26" s="36"/>
      <c r="R26" s="36"/>
      <c r="S26" s="36"/>
    </row>
    <row r="27" spans="3:19" ht="20.100000000000001" customHeight="1">
      <c r="C27" s="96" t="s">
        <v>35</v>
      </c>
      <c r="D27" s="192">
        <v>152.90280994833867</v>
      </c>
      <c r="E27" s="246">
        <v>157.38806844904772</v>
      </c>
      <c r="F27" s="194">
        <f t="shared" si="0"/>
        <v>2.9334048878660202E-2</v>
      </c>
      <c r="G27" s="206">
        <v>1047.8359185867093</v>
      </c>
      <c r="H27" s="246">
        <v>1086.6993670540478</v>
      </c>
      <c r="I27" s="194">
        <f t="shared" si="1"/>
        <v>3.7089250118240269E-2</v>
      </c>
      <c r="J27" s="16"/>
      <c r="K27" s="35"/>
      <c r="L27" s="35"/>
      <c r="O27" s="36"/>
      <c r="P27" s="7"/>
      <c r="Q27" s="36"/>
      <c r="R27" s="36"/>
      <c r="S27" s="36"/>
    </row>
    <row r="28" spans="3:19" ht="20.100000000000001" customHeight="1">
      <c r="C28" s="96" t="s">
        <v>36</v>
      </c>
      <c r="D28" s="192">
        <v>66.876651795000001</v>
      </c>
      <c r="E28" s="246">
        <v>47.336026299946816</v>
      </c>
      <c r="F28" s="194">
        <f t="shared" si="0"/>
        <v>-0.29218905209178148</v>
      </c>
      <c r="G28" s="206">
        <v>765.51831387499988</v>
      </c>
      <c r="H28" s="246">
        <v>714.08566384994697</v>
      </c>
      <c r="I28" s="318">
        <f t="shared" si="1"/>
        <v>-6.7186700948674183E-2</v>
      </c>
      <c r="J28" s="16"/>
      <c r="K28" s="35"/>
      <c r="L28" s="35"/>
      <c r="P28" s="7"/>
      <c r="Q28" s="36"/>
      <c r="R28" s="36"/>
      <c r="S28" s="36"/>
    </row>
    <row r="29" spans="3:19" ht="20.100000000000001" customHeight="1">
      <c r="C29" s="96" t="s">
        <v>37</v>
      </c>
      <c r="D29" s="192">
        <v>2.4022519999999998</v>
      </c>
      <c r="E29" s="246">
        <v>2.3962659999999998</v>
      </c>
      <c r="F29" s="194">
        <f t="shared" si="0"/>
        <v>-2.4918285009233321E-3</v>
      </c>
      <c r="G29" s="206">
        <v>31.634387000000004</v>
      </c>
      <c r="H29" s="246">
        <v>30.484295999999997</v>
      </c>
      <c r="I29" s="194">
        <f t="shared" si="1"/>
        <v>-3.6355722650797895E-2</v>
      </c>
      <c r="J29" s="16"/>
      <c r="K29" s="35"/>
      <c r="L29" s="35"/>
      <c r="O29" s="36"/>
      <c r="P29" s="7"/>
      <c r="Q29" s="36"/>
      <c r="R29" s="36"/>
      <c r="S29" s="36"/>
    </row>
    <row r="30" spans="3:19" ht="20.100000000000001" customHeight="1">
      <c r="C30" s="96" t="s">
        <v>38</v>
      </c>
      <c r="D30" s="192">
        <v>13.73498</v>
      </c>
      <c r="E30" s="246">
        <v>9.0686162331617872</v>
      </c>
      <c r="F30" s="194">
        <f t="shared" si="0"/>
        <v>-0.3397430332507374</v>
      </c>
      <c r="G30" s="206">
        <v>102.918862</v>
      </c>
      <c r="H30" s="246">
        <v>69.127371570661779</v>
      </c>
      <c r="I30" s="194">
        <f t="shared" si="1"/>
        <v>-0.32833136485067449</v>
      </c>
      <c r="J30" s="16"/>
      <c r="K30" s="35"/>
      <c r="L30" s="35"/>
      <c r="P30" s="7"/>
      <c r="Q30" s="36"/>
      <c r="R30" s="36"/>
      <c r="S30" s="36"/>
    </row>
    <row r="31" spans="3:19" ht="20.100000000000001" customHeight="1">
      <c r="C31" s="96" t="s">
        <v>39</v>
      </c>
      <c r="D31" s="192">
        <v>1.1005480000000003</v>
      </c>
      <c r="E31" s="246">
        <v>1.1005480000000001</v>
      </c>
      <c r="F31" s="194">
        <f>+E31/D31-1</f>
        <v>0</v>
      </c>
      <c r="G31" s="206">
        <v>8.8043840000000042</v>
      </c>
      <c r="H31" s="246">
        <v>8.8043840000000007</v>
      </c>
      <c r="I31" s="194">
        <f t="shared" si="1"/>
        <v>0</v>
      </c>
      <c r="J31" s="16"/>
      <c r="K31" s="35"/>
      <c r="L31" s="35"/>
      <c r="P31" s="7"/>
      <c r="Q31" s="36"/>
      <c r="R31" s="36"/>
      <c r="S31" s="36"/>
    </row>
    <row r="32" spans="3:19" ht="20.100000000000001" customHeight="1">
      <c r="C32" s="98" t="s">
        <v>40</v>
      </c>
      <c r="D32" s="186">
        <v>34.206782333333337</v>
      </c>
      <c r="E32" s="247">
        <v>39.274689622499984</v>
      </c>
      <c r="F32" s="195">
        <f t="shared" si="0"/>
        <v>0.14815504246443401</v>
      </c>
      <c r="G32" s="207">
        <v>164.18224366666666</v>
      </c>
      <c r="H32" s="247">
        <v>246.19175713499999</v>
      </c>
      <c r="I32" s="195">
        <f t="shared" si="1"/>
        <v>0.49950294037176346</v>
      </c>
      <c r="J32" s="16"/>
      <c r="K32" s="35"/>
      <c r="L32" s="35"/>
      <c r="O32" s="36"/>
      <c r="P32" s="7"/>
      <c r="Q32" s="36"/>
      <c r="R32" s="36"/>
      <c r="S32" s="36"/>
    </row>
    <row r="33" spans="3:19" ht="16.5" customHeight="1" thickBot="1">
      <c r="C33" s="282" t="s">
        <v>108</v>
      </c>
      <c r="D33" s="89">
        <f>SUM(D8:D32)</f>
        <v>5002.9900136418064</v>
      </c>
      <c r="E33" s="248">
        <f>SUM(E8:E32)</f>
        <v>5188.5858450707647</v>
      </c>
      <c r="F33" s="94">
        <f>+E33/D33-1</f>
        <v>3.7096982189228633E-2</v>
      </c>
      <c r="G33" s="208">
        <f>SUM(G8:G32)</f>
        <v>39237.481395499781</v>
      </c>
      <c r="H33" s="248">
        <f>SUM(H8:H32)</f>
        <v>41146.632146490992</v>
      </c>
      <c r="I33" s="209">
        <f>+H33/G33-1</f>
        <v>4.8656302165464016E-2</v>
      </c>
      <c r="J33" s="16"/>
      <c r="K33" s="37"/>
      <c r="N33" s="38"/>
      <c r="O33" s="36"/>
      <c r="P33" s="36"/>
      <c r="Q33" s="36"/>
      <c r="R33" s="36"/>
      <c r="S33" s="36"/>
    </row>
    <row r="34" spans="3:19">
      <c r="J34" s="16"/>
      <c r="K34" s="37"/>
      <c r="N34" s="38"/>
      <c r="O34" s="36"/>
      <c r="P34" s="36"/>
      <c r="Q34" s="36"/>
      <c r="R34" s="36"/>
      <c r="S34" s="36"/>
    </row>
    <row r="35" spans="3:19">
      <c r="H35" s="16"/>
      <c r="I35" s="16"/>
      <c r="J35" s="16"/>
      <c r="K35" s="37"/>
      <c r="O35" s="36"/>
      <c r="P35" s="36"/>
      <c r="Q35" s="36"/>
      <c r="R35" s="36"/>
      <c r="S35" s="36"/>
    </row>
    <row r="36" spans="3:19">
      <c r="C36" s="17" t="s">
        <v>131</v>
      </c>
      <c r="N36" s="38"/>
      <c r="O36" s="36"/>
      <c r="P36" s="36"/>
      <c r="Q36" s="36"/>
      <c r="R36" s="36"/>
      <c r="S36" s="36"/>
    </row>
    <row r="37" spans="3:19">
      <c r="C37" s="15"/>
      <c r="O37" s="36"/>
      <c r="P37" s="36"/>
      <c r="Q37" s="36"/>
      <c r="R37" s="36"/>
      <c r="S37" s="36"/>
    </row>
    <row r="38" spans="3:19" ht="12.75" customHeight="1">
      <c r="C38" s="15"/>
      <c r="O38" s="36"/>
      <c r="P38" s="36"/>
      <c r="Q38" s="36"/>
      <c r="R38" s="36"/>
      <c r="S38" s="36"/>
    </row>
    <row r="39" spans="3:19" ht="16.5" customHeight="1">
      <c r="C39" s="15"/>
      <c r="O39" s="36"/>
      <c r="P39" s="36"/>
      <c r="Q39" s="36"/>
      <c r="R39" s="36"/>
      <c r="S39" s="36"/>
    </row>
    <row r="40" spans="3:19">
      <c r="C40" s="15"/>
    </row>
    <row r="41" spans="3:19">
      <c r="C41" s="15"/>
    </row>
    <row r="42" spans="3:19">
      <c r="C42" s="15"/>
    </row>
    <row r="43" spans="3:19">
      <c r="C43" s="15"/>
      <c r="N43" s="39" t="s">
        <v>43</v>
      </c>
      <c r="O43" s="295" t="s">
        <v>45</v>
      </c>
    </row>
    <row r="44" spans="3:19">
      <c r="C44" s="15"/>
      <c r="N44" s="39" t="s">
        <v>30</v>
      </c>
      <c r="O44" s="40">
        <v>2743.6662186342533</v>
      </c>
      <c r="S44" s="36"/>
    </row>
    <row r="45" spans="3:19">
      <c r="C45" s="15"/>
      <c r="N45" s="39" t="s">
        <v>24</v>
      </c>
      <c r="O45" s="40">
        <v>671.59762506635877</v>
      </c>
      <c r="S45" s="36"/>
    </row>
    <row r="46" spans="3:19">
      <c r="C46" s="15"/>
      <c r="N46" s="39" t="s">
        <v>59</v>
      </c>
      <c r="O46" s="40">
        <v>371.94943416129667</v>
      </c>
      <c r="S46" s="36"/>
    </row>
    <row r="47" spans="3:19">
      <c r="N47" s="39" t="s">
        <v>33</v>
      </c>
      <c r="O47" s="40">
        <v>259.31685209250003</v>
      </c>
      <c r="S47" s="36"/>
    </row>
    <row r="48" spans="3:19">
      <c r="N48" s="39" t="s">
        <v>27</v>
      </c>
      <c r="O48" s="40">
        <v>157.61988998138747</v>
      </c>
      <c r="S48" s="36"/>
    </row>
    <row r="49" spans="14:19">
      <c r="N49" s="39" t="s">
        <v>35</v>
      </c>
      <c r="O49" s="40">
        <v>157.38806844904772</v>
      </c>
      <c r="S49" s="36"/>
    </row>
    <row r="50" spans="14:19">
      <c r="N50" s="39" t="s">
        <v>26</v>
      </c>
      <c r="O50" s="40">
        <v>151.50590775826197</v>
      </c>
      <c r="S50" s="36"/>
    </row>
    <row r="51" spans="14:19">
      <c r="N51" s="39" t="s">
        <v>23</v>
      </c>
      <c r="O51" s="40">
        <v>116.47864025812494</v>
      </c>
      <c r="S51" s="99"/>
    </row>
    <row r="52" spans="14:19">
      <c r="N52" s="39" t="s">
        <v>20</v>
      </c>
      <c r="O52" s="40">
        <v>97.353956451848376</v>
      </c>
      <c r="S52" s="36"/>
    </row>
    <row r="53" spans="14:19">
      <c r="N53" s="39" t="s">
        <v>18</v>
      </c>
      <c r="O53" s="40">
        <v>89.234732557508607</v>
      </c>
      <c r="S53" s="36"/>
    </row>
    <row r="54" spans="14:19">
      <c r="N54" s="39" t="s">
        <v>28</v>
      </c>
      <c r="O54" s="40">
        <v>73.458628080549531</v>
      </c>
      <c r="S54" s="36"/>
    </row>
    <row r="55" spans="14:19">
      <c r="N55" s="39" t="s">
        <v>22</v>
      </c>
      <c r="O55" s="40">
        <v>64.223765018734554</v>
      </c>
      <c r="S55" s="36"/>
    </row>
    <row r="56" spans="14:19">
      <c r="N56" s="39" t="s">
        <v>34</v>
      </c>
      <c r="O56" s="40">
        <v>61.548846393731822</v>
      </c>
      <c r="S56" s="36"/>
    </row>
    <row r="57" spans="14:19">
      <c r="N57" s="39" t="s">
        <v>36</v>
      </c>
      <c r="O57" s="40">
        <v>47.336026299946816</v>
      </c>
      <c r="S57" s="36"/>
    </row>
    <row r="58" spans="14:19">
      <c r="N58" s="39" t="s">
        <v>40</v>
      </c>
      <c r="O58" s="40">
        <v>39.274689622499984</v>
      </c>
      <c r="S58" s="36"/>
    </row>
    <row r="59" spans="14:19">
      <c r="N59" s="39" t="s">
        <v>31</v>
      </c>
      <c r="O59" s="40">
        <v>36.194763000000002</v>
      </c>
      <c r="S59" s="36"/>
    </row>
    <row r="60" spans="14:19">
      <c r="N60" s="39" t="s">
        <v>25</v>
      </c>
      <c r="O60" s="40">
        <v>18.515929453218391</v>
      </c>
      <c r="S60" s="36"/>
    </row>
    <row r="61" spans="14:19">
      <c r="N61" s="39" t="s">
        <v>29</v>
      </c>
      <c r="O61" s="40">
        <v>11.3711014125</v>
      </c>
      <c r="S61" s="36"/>
    </row>
    <row r="62" spans="14:19">
      <c r="N62" s="39" t="s">
        <v>38</v>
      </c>
      <c r="O62" s="40">
        <v>9.0686162331617872</v>
      </c>
      <c r="S62" s="36"/>
    </row>
    <row r="63" spans="14:19">
      <c r="N63" s="39" t="s">
        <v>17</v>
      </c>
      <c r="O63" s="40">
        <v>4.3350893333333334</v>
      </c>
      <c r="S63" s="36"/>
    </row>
    <row r="64" spans="14:19">
      <c r="N64" s="39" t="s">
        <v>19</v>
      </c>
      <c r="O64" s="40">
        <v>2.5786660000000001</v>
      </c>
      <c r="S64" s="36"/>
    </row>
    <row r="65" spans="6:19">
      <c r="N65" s="39" t="s">
        <v>37</v>
      </c>
      <c r="O65" s="40">
        <v>2.3962659999999998</v>
      </c>
      <c r="S65" s="36"/>
    </row>
    <row r="66" spans="6:19">
      <c r="N66" s="39" t="s">
        <v>39</v>
      </c>
      <c r="O66" s="40">
        <v>1.1005480000000001</v>
      </c>
      <c r="S66" s="36"/>
    </row>
    <row r="67" spans="6:19">
      <c r="N67" s="39" t="s">
        <v>21</v>
      </c>
      <c r="O67" s="40">
        <v>0.91318299999999997</v>
      </c>
      <c r="S67" s="36"/>
    </row>
    <row r="68" spans="6:19">
      <c r="N68" t="s">
        <v>32</v>
      </c>
      <c r="O68" s="40">
        <v>0.15840181250000004</v>
      </c>
      <c r="S68" s="36"/>
    </row>
    <row r="70" spans="6:19">
      <c r="F70" s="64"/>
    </row>
    <row r="71" spans="6:19">
      <c r="F71" s="64"/>
    </row>
    <row r="72" spans="6:19">
      <c r="F72" s="64"/>
    </row>
    <row r="73" spans="6:19">
      <c r="F73" s="64"/>
    </row>
    <row r="74" spans="6:19">
      <c r="F74" s="64"/>
    </row>
    <row r="75" spans="6:19">
      <c r="F75" s="64"/>
    </row>
    <row r="76" spans="6:19">
      <c r="F76" s="64"/>
    </row>
    <row r="77" spans="6:19">
      <c r="F77" s="64"/>
    </row>
    <row r="78" spans="6:19">
      <c r="F78" s="64"/>
    </row>
    <row r="79" spans="6:19">
      <c r="F79" s="64"/>
    </row>
    <row r="80" spans="6:19">
      <c r="F80" s="64"/>
    </row>
    <row r="81" spans="6:6">
      <c r="F81" s="64"/>
    </row>
    <row r="82" spans="6:6">
      <c r="F82" s="64"/>
    </row>
    <row r="83" spans="6:6">
      <c r="F83" s="64"/>
    </row>
    <row r="84" spans="6:6">
      <c r="F84" s="64"/>
    </row>
    <row r="85" spans="6:6">
      <c r="F85" s="64"/>
    </row>
    <row r="86" spans="6:6">
      <c r="F86" s="64"/>
    </row>
    <row r="87" spans="6:6">
      <c r="F87" s="64"/>
    </row>
    <row r="88" spans="6:6">
      <c r="F88" s="64"/>
    </row>
    <row r="89" spans="6:6">
      <c r="F89" s="64"/>
    </row>
    <row r="90" spans="6:6">
      <c r="F90" s="64"/>
    </row>
    <row r="91" spans="6:6">
      <c r="F91" s="64"/>
    </row>
    <row r="92" spans="6:6">
      <c r="F92" s="64"/>
    </row>
    <row r="93" spans="6:6">
      <c r="F93" s="64"/>
    </row>
  </sheetData>
  <sortState xmlns:xlrd2="http://schemas.microsoft.com/office/spreadsheetml/2017/richdata2"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2023-10-04T14:31:12Z</dcterms:modified>
</cp:coreProperties>
</file>